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6015" yWindow="735" windowWidth="19155" windowHeight="8505" tabRatio="900" activeTab="9"/>
  </bookViews>
  <sheets>
    <sheet name="VILATI K" sheetId="1" r:id="rId1"/>
    <sheet name="VILATI a.ffi" sheetId="2" r:id="rId2"/>
    <sheet name="VILATI női" sheetId="3" r:id="rId3"/>
    <sheet name="EGYÉNI" sheetId="4" r:id="rId4"/>
    <sheet name="PÁROS" sheetId="5" r:id="rId5"/>
    <sheet name="Agria csap." sheetId="6" r:id="rId6"/>
    <sheet name="Agria am.ffi" sheetId="7" r:id="rId7"/>
    <sheet name="Agria női" sheetId="8" r:id="rId8"/>
    <sheet name="Agria egy." sheetId="9" r:id="rId9"/>
    <sheet name="Agria páros" sheetId="10" r:id="rId10"/>
    <sheet name="ÖSSZ.PÁR" sheetId="17" r:id="rId11"/>
    <sheet name="ÖSSZ.CSAP." sheetId="19" r:id="rId12"/>
    <sheet name="ÖSSZ.EGY." sheetId="11" r:id="rId13"/>
    <sheet name="Tősi ffi" sheetId="12" r:id="rId14"/>
    <sheet name="TŐSI AM." sheetId="13" r:id="rId15"/>
    <sheet name="TŐSI NŐI" sheetId="14" r:id="rId16"/>
    <sheet name="TŐSI EGY." sheetId="15" r:id="rId17"/>
    <sheet name="TŐSI PÁR." sheetId="16" r:id="rId18"/>
    <sheet name="TÉLI K. PÁR" sheetId="21" r:id="rId19"/>
    <sheet name="TÉLI K. EGY." sheetId="22" r:id="rId20"/>
    <sheet name="TÉLI K. csap" sheetId="20" r:id="rId21"/>
    <sheet name="TÉLI K. AM." sheetId="24" r:id="rId22"/>
    <sheet name="TÉLI K. NŐI" sheetId="23" r:id="rId23"/>
  </sheets>
  <calcPr calcId="152511"/>
</workbook>
</file>

<file path=xl/calcChain.xml><?xml version="1.0" encoding="utf-8"?>
<calcChain xmlns="http://schemas.openxmlformats.org/spreadsheetml/2006/main">
  <c r="E52" i="7" l="1"/>
  <c r="F52" i="7"/>
  <c r="G52" i="7"/>
  <c r="H52" i="7"/>
  <c r="D52" i="7"/>
  <c r="K25" i="7"/>
  <c r="K21" i="7"/>
  <c r="E72" i="6"/>
  <c r="F72" i="6"/>
  <c r="G72" i="6"/>
  <c r="H72" i="6"/>
  <c r="D72" i="6"/>
  <c r="K51" i="9"/>
  <c r="D70" i="9"/>
  <c r="E28" i="6"/>
  <c r="D28" i="6"/>
  <c r="E31" i="6"/>
  <c r="E30" i="6"/>
  <c r="D30" i="6"/>
  <c r="E29" i="6"/>
  <c r="D29" i="6"/>
  <c r="D31" i="6"/>
  <c r="E67" i="6"/>
  <c r="D67" i="6"/>
  <c r="H67" i="6" s="1"/>
  <c r="E66" i="6"/>
  <c r="H66" i="6" s="1"/>
  <c r="D66" i="6"/>
  <c r="E65" i="6"/>
  <c r="D65" i="6"/>
  <c r="H65" i="6" s="1"/>
  <c r="E64" i="6"/>
  <c r="D64" i="6"/>
  <c r="H64" i="6" s="1"/>
  <c r="Q27" i="9"/>
  <c r="F22" i="8"/>
  <c r="G22" i="8"/>
  <c r="E8" i="8"/>
  <c r="D8" i="8"/>
  <c r="E7" i="8" l="1"/>
  <c r="D7" i="8"/>
  <c r="E6" i="8"/>
  <c r="D6" i="8"/>
  <c r="E5" i="8"/>
  <c r="D5" i="8"/>
  <c r="E4" i="8"/>
  <c r="D4" i="8"/>
  <c r="E27" i="7"/>
  <c r="D27" i="7"/>
  <c r="H27" i="7" s="1"/>
  <c r="E26" i="7"/>
  <c r="D26" i="7"/>
  <c r="E25" i="7"/>
  <c r="D25" i="7"/>
  <c r="H25" i="7" s="1"/>
  <c r="E24" i="7"/>
  <c r="D24" i="7"/>
  <c r="H24" i="7" s="1"/>
  <c r="H26" i="7"/>
  <c r="E18" i="6"/>
  <c r="D18" i="6"/>
  <c r="E16" i="6"/>
  <c r="D16" i="6"/>
  <c r="E17" i="6"/>
  <c r="D17" i="6"/>
  <c r="E19" i="6"/>
  <c r="D19" i="6"/>
  <c r="E47" i="6"/>
  <c r="D47" i="6"/>
  <c r="E46" i="6"/>
  <c r="D46" i="6"/>
  <c r="H46" i="6" s="1"/>
  <c r="E45" i="6"/>
  <c r="D45" i="6"/>
  <c r="H45" i="6" s="1"/>
  <c r="E44" i="6"/>
  <c r="D44" i="6"/>
  <c r="D56" i="6"/>
  <c r="E56" i="6"/>
  <c r="D57" i="6"/>
  <c r="E57" i="6"/>
  <c r="H47" i="6"/>
  <c r="E11" i="7"/>
  <c r="D11" i="7"/>
  <c r="E10" i="7"/>
  <c r="D10" i="7"/>
  <c r="E9" i="7"/>
  <c r="D9" i="7"/>
  <c r="E8" i="7"/>
  <c r="D8" i="7"/>
  <c r="E43" i="6"/>
  <c r="D43" i="6"/>
  <c r="E40" i="6"/>
  <c r="D40" i="6"/>
  <c r="E41" i="6"/>
  <c r="D41" i="6"/>
  <c r="E42" i="6"/>
  <c r="D42" i="6"/>
  <c r="E42" i="7"/>
  <c r="D42" i="7"/>
  <c r="E40" i="7"/>
  <c r="D40" i="7"/>
  <c r="E41" i="7"/>
  <c r="D41" i="7"/>
  <c r="E43" i="7"/>
  <c r="D43" i="7"/>
  <c r="E51" i="6"/>
  <c r="D51" i="6"/>
  <c r="E50" i="6"/>
  <c r="H50" i="6" s="1"/>
  <c r="D50" i="6"/>
  <c r="E49" i="6"/>
  <c r="D49" i="6"/>
  <c r="E48" i="6"/>
  <c r="D48" i="6"/>
  <c r="H48" i="6"/>
  <c r="E7" i="6"/>
  <c r="D7" i="6"/>
  <c r="E6" i="6"/>
  <c r="D6" i="6"/>
  <c r="H6" i="6" s="1"/>
  <c r="E5" i="6"/>
  <c r="D5" i="6"/>
  <c r="E4" i="6"/>
  <c r="D4" i="6"/>
  <c r="H4" i="6" s="1"/>
  <c r="E13" i="6"/>
  <c r="D13" i="6"/>
  <c r="E15" i="6"/>
  <c r="D15" i="6"/>
  <c r="E12" i="6"/>
  <c r="D12" i="6"/>
  <c r="E14" i="6"/>
  <c r="D14" i="6"/>
  <c r="H14" i="6" s="1"/>
  <c r="H12" i="6"/>
  <c r="E13" i="7"/>
  <c r="D13" i="7"/>
  <c r="E12" i="7"/>
  <c r="D12" i="7"/>
  <c r="H12" i="7" s="1"/>
  <c r="E15" i="7"/>
  <c r="D15" i="7"/>
  <c r="E14" i="7"/>
  <c r="D14" i="7"/>
  <c r="H15" i="7"/>
  <c r="H10" i="7"/>
  <c r="E70" i="6"/>
  <c r="D70" i="6"/>
  <c r="E63" i="6"/>
  <c r="D63" i="6"/>
  <c r="E62" i="6"/>
  <c r="H62" i="6" s="1"/>
  <c r="D62" i="6"/>
  <c r="E34" i="7"/>
  <c r="D34" i="7"/>
  <c r="E35" i="7"/>
  <c r="D35" i="7"/>
  <c r="E33" i="7"/>
  <c r="D33" i="7"/>
  <c r="H33" i="7" s="1"/>
  <c r="E32" i="7"/>
  <c r="H32" i="7" s="1"/>
  <c r="D32" i="7"/>
  <c r="E39" i="6"/>
  <c r="D39" i="6"/>
  <c r="E38" i="6"/>
  <c r="D38" i="6"/>
  <c r="E37" i="6"/>
  <c r="D37" i="6"/>
  <c r="E36" i="6"/>
  <c r="D36" i="6"/>
  <c r="E51" i="7"/>
  <c r="H51" i="7" s="1"/>
  <c r="D51" i="7"/>
  <c r="E50" i="7"/>
  <c r="D50" i="7"/>
  <c r="H50" i="7" s="1"/>
  <c r="E25" i="6"/>
  <c r="D25" i="6"/>
  <c r="E24" i="6"/>
  <c r="D24" i="6"/>
  <c r="E15" i="8"/>
  <c r="D15" i="8"/>
  <c r="E14" i="8"/>
  <c r="D14" i="8"/>
  <c r="E13" i="8"/>
  <c r="D13" i="8"/>
  <c r="E12" i="8"/>
  <c r="D12" i="8"/>
  <c r="E31" i="7"/>
  <c r="D31" i="7"/>
  <c r="E30" i="7"/>
  <c r="D30" i="7"/>
  <c r="E29" i="7"/>
  <c r="D29" i="7"/>
  <c r="E28" i="7"/>
  <c r="D28" i="7"/>
  <c r="E39" i="7"/>
  <c r="D39" i="7"/>
  <c r="E38" i="7"/>
  <c r="D38" i="7"/>
  <c r="E37" i="7"/>
  <c r="D37" i="7"/>
  <c r="E36" i="7"/>
  <c r="D36" i="7"/>
  <c r="E19" i="7"/>
  <c r="D19" i="7"/>
  <c r="E18" i="7"/>
  <c r="D18" i="7"/>
  <c r="E17" i="7"/>
  <c r="D17" i="7"/>
  <c r="E16" i="7"/>
  <c r="D16" i="7"/>
  <c r="E44" i="7"/>
  <c r="D44" i="7"/>
  <c r="E46" i="7"/>
  <c r="D46" i="7"/>
  <c r="E47" i="7"/>
  <c r="D47" i="7"/>
  <c r="E45" i="7"/>
  <c r="D45" i="7"/>
  <c r="E35" i="6"/>
  <c r="D35" i="6"/>
  <c r="E34" i="6"/>
  <c r="D34" i="6"/>
  <c r="E33" i="6"/>
  <c r="D33" i="6"/>
  <c r="E32" i="6"/>
  <c r="D32" i="6"/>
  <c r="E17" i="8"/>
  <c r="D17" i="8"/>
  <c r="H17" i="8" s="1"/>
  <c r="E16" i="8"/>
  <c r="D16" i="8"/>
  <c r="H16" i="8" s="1"/>
  <c r="E18" i="8"/>
  <c r="D18" i="8"/>
  <c r="E7" i="7"/>
  <c r="D7" i="7"/>
  <c r="E6" i="7"/>
  <c r="D6" i="7"/>
  <c r="E5" i="7"/>
  <c r="D5" i="7"/>
  <c r="H5" i="7" s="1"/>
  <c r="E4" i="7"/>
  <c r="D4" i="7"/>
  <c r="H34" i="7" l="1"/>
  <c r="H13" i="7"/>
  <c r="H4" i="7"/>
  <c r="H6" i="7"/>
  <c r="H35" i="7"/>
  <c r="H13" i="6"/>
  <c r="H14" i="7"/>
  <c r="H51" i="6"/>
  <c r="I50" i="6" s="1"/>
  <c r="H9" i="7"/>
  <c r="H11" i="7"/>
  <c r="H57" i="6"/>
  <c r="H44" i="6"/>
  <c r="I44" i="6" s="1"/>
  <c r="H15" i="6"/>
  <c r="H5" i="6"/>
  <c r="H7" i="6"/>
  <c r="I6" i="6" s="1"/>
  <c r="H8" i="7"/>
  <c r="H56" i="6"/>
  <c r="I56" i="6" s="1"/>
  <c r="I26" i="7"/>
  <c r="I24" i="7"/>
  <c r="J24" i="7" s="1"/>
  <c r="H63" i="6"/>
  <c r="I62" i="6" s="1"/>
  <c r="H70" i="6"/>
  <c r="H49" i="6"/>
  <c r="I48" i="6" s="1"/>
  <c r="I46" i="6"/>
  <c r="I8" i="7"/>
  <c r="I10" i="7"/>
  <c r="I4" i="6"/>
  <c r="I12" i="6"/>
  <c r="I14" i="6"/>
  <c r="I12" i="7"/>
  <c r="I14" i="7"/>
  <c r="J12" i="7" s="1"/>
  <c r="I34" i="7"/>
  <c r="I32" i="7"/>
  <c r="I16" i="8"/>
  <c r="H18" i="8"/>
  <c r="I18" i="8" s="1"/>
  <c r="H7" i="7"/>
  <c r="I6" i="7" s="1"/>
  <c r="I4" i="7"/>
  <c r="E59" i="6"/>
  <c r="D59" i="6"/>
  <c r="H37" i="6"/>
  <c r="E49" i="7"/>
  <c r="H49" i="7" s="1"/>
  <c r="D49" i="7"/>
  <c r="E9" i="8"/>
  <c r="E22" i="8" s="1"/>
  <c r="D9" i="8"/>
  <c r="D22" i="8" s="1"/>
  <c r="E11" i="8"/>
  <c r="D11" i="8"/>
  <c r="E10" i="8"/>
  <c r="D10" i="8"/>
  <c r="E11" i="6"/>
  <c r="D11" i="6"/>
  <c r="E10" i="6"/>
  <c r="D10" i="6"/>
  <c r="E9" i="6"/>
  <c r="D9" i="6"/>
  <c r="E8" i="6"/>
  <c r="D8" i="6"/>
  <c r="E53" i="6"/>
  <c r="D53" i="6"/>
  <c r="E52" i="6"/>
  <c r="D52" i="6"/>
  <c r="E54" i="6"/>
  <c r="D54" i="6"/>
  <c r="E55" i="6"/>
  <c r="D55" i="6"/>
  <c r="E69" i="6"/>
  <c r="D69" i="6"/>
  <c r="E20" i="8"/>
  <c r="D20" i="8"/>
  <c r="E48" i="7"/>
  <c r="D48" i="7"/>
  <c r="E68" i="6"/>
  <c r="D68" i="6"/>
  <c r="H68" i="6" s="1"/>
  <c r="J16" i="8" l="1"/>
  <c r="J4" i="6"/>
  <c r="J12" i="6"/>
  <c r="J48" i="6"/>
  <c r="J44" i="6"/>
  <c r="J8" i="7"/>
  <c r="J32" i="7"/>
  <c r="J4" i="7"/>
  <c r="E60" i="6"/>
  <c r="D60" i="6"/>
  <c r="E27" i="6"/>
  <c r="D27" i="6"/>
  <c r="E61" i="6"/>
  <c r="D61" i="6"/>
  <c r="E26" i="6"/>
  <c r="D26" i="6"/>
  <c r="E20" i="7"/>
  <c r="D20" i="7"/>
  <c r="E23" i="7"/>
  <c r="D23" i="7"/>
  <c r="E22" i="7"/>
  <c r="D22" i="7"/>
  <c r="E21" i="7"/>
  <c r="D21" i="7"/>
  <c r="E21" i="6"/>
  <c r="D21" i="6"/>
  <c r="E23" i="6"/>
  <c r="D23" i="6"/>
  <c r="E22" i="6"/>
  <c r="D22" i="6"/>
  <c r="D20" i="6"/>
  <c r="E20" i="6"/>
  <c r="H22" i="6" l="1"/>
  <c r="H21" i="6"/>
  <c r="P31" i="4"/>
  <c r="J42" i="4"/>
  <c r="F26" i="3"/>
  <c r="G26" i="3"/>
  <c r="H24" i="3"/>
  <c r="D46" i="4"/>
  <c r="I30" i="1"/>
  <c r="I28" i="1"/>
  <c r="J28" i="1" s="1"/>
  <c r="E41" i="1" l="1"/>
  <c r="D41" i="1"/>
  <c r="E40" i="1"/>
  <c r="H40" i="1" s="1"/>
  <c r="H41" i="1"/>
  <c r="E43" i="1"/>
  <c r="D43" i="1"/>
  <c r="E42" i="1"/>
  <c r="D42" i="1"/>
  <c r="E35" i="1"/>
  <c r="D35" i="1"/>
  <c r="E34" i="1"/>
  <c r="D34" i="1"/>
  <c r="E19" i="3"/>
  <c r="D19" i="3"/>
  <c r="E17" i="3"/>
  <c r="D17" i="3"/>
  <c r="E16" i="3"/>
  <c r="D16" i="3"/>
  <c r="E46" i="1"/>
  <c r="D46" i="1"/>
  <c r="H23" i="3"/>
  <c r="E39" i="1"/>
  <c r="D39" i="1"/>
  <c r="E38" i="1"/>
  <c r="D38" i="1"/>
  <c r="E19" i="1"/>
  <c r="D19" i="1"/>
  <c r="E18" i="1"/>
  <c r="D18" i="1"/>
  <c r="E15" i="1"/>
  <c r="D15" i="1"/>
  <c r="E14" i="1"/>
  <c r="D14" i="1"/>
  <c r="E17" i="1"/>
  <c r="D17" i="1"/>
  <c r="E16" i="1"/>
  <c r="D16" i="1"/>
  <c r="E13" i="1"/>
  <c r="D13" i="1"/>
  <c r="E12" i="1"/>
  <c r="D12" i="1"/>
  <c r="E35" i="2"/>
  <c r="D35" i="2"/>
  <c r="H35" i="2" s="1"/>
  <c r="E34" i="2"/>
  <c r="D34" i="2"/>
  <c r="E33" i="2"/>
  <c r="D33" i="2"/>
  <c r="E32" i="2"/>
  <c r="D32" i="2"/>
  <c r="E15" i="3"/>
  <c r="D15" i="3"/>
  <c r="H15" i="3" s="1"/>
  <c r="E13" i="3"/>
  <c r="D13" i="3"/>
  <c r="E14" i="3"/>
  <c r="D14" i="3"/>
  <c r="E12" i="3"/>
  <c r="D12" i="3"/>
  <c r="E23" i="1"/>
  <c r="D23" i="1"/>
  <c r="E22" i="1"/>
  <c r="D22" i="1"/>
  <c r="E21" i="1"/>
  <c r="D21" i="1"/>
  <c r="E20" i="1"/>
  <c r="D20" i="1"/>
  <c r="E45" i="1"/>
  <c r="D45" i="1"/>
  <c r="E44" i="1"/>
  <c r="D44" i="1"/>
  <c r="H44" i="1" s="1"/>
  <c r="E11" i="1"/>
  <c r="D11" i="1"/>
  <c r="E10" i="1"/>
  <c r="D10" i="1"/>
  <c r="E39" i="2"/>
  <c r="D39" i="2"/>
  <c r="E38" i="2"/>
  <c r="D38" i="2"/>
  <c r="E37" i="2"/>
  <c r="D37" i="2"/>
  <c r="H33" i="2" l="1"/>
  <c r="H13" i="3"/>
  <c r="I12" i="3" s="1"/>
  <c r="H32" i="2"/>
  <c r="H16" i="1"/>
  <c r="H14" i="3"/>
  <c r="H34" i="2"/>
  <c r="H45" i="1"/>
  <c r="I40" i="1"/>
  <c r="H18" i="1"/>
  <c r="H46" i="1"/>
  <c r="H17" i="1"/>
  <c r="H19" i="1"/>
  <c r="I18" i="1" s="1"/>
  <c r="H12" i="3"/>
  <c r="I34" i="2"/>
  <c r="I32" i="2"/>
  <c r="I14" i="3"/>
  <c r="I44" i="1"/>
  <c r="E36" i="2"/>
  <c r="D36" i="2"/>
  <c r="H36" i="2" s="1"/>
  <c r="H37" i="2"/>
  <c r="H38" i="2"/>
  <c r="H39" i="2"/>
  <c r="F40" i="2"/>
  <c r="G40" i="2"/>
  <c r="E28" i="2"/>
  <c r="D28" i="2"/>
  <c r="E30" i="2"/>
  <c r="D30" i="2"/>
  <c r="E29" i="2"/>
  <c r="D29" i="2"/>
  <c r="E31" i="2"/>
  <c r="D31" i="2"/>
  <c r="E7" i="3"/>
  <c r="D7" i="3"/>
  <c r="E6" i="3"/>
  <c r="D6" i="3"/>
  <c r="E5" i="3"/>
  <c r="D5" i="3"/>
  <c r="E4" i="3"/>
  <c r="D4" i="3"/>
  <c r="E7" i="1"/>
  <c r="D7" i="1"/>
  <c r="E6" i="1"/>
  <c r="D6" i="1"/>
  <c r="E5" i="1"/>
  <c r="D5" i="1"/>
  <c r="E4" i="1"/>
  <c r="D4" i="1"/>
  <c r="E27" i="2"/>
  <c r="D27" i="2"/>
  <c r="E26" i="2"/>
  <c r="D26" i="2"/>
  <c r="E25" i="2"/>
  <c r="H25" i="2" s="1"/>
  <c r="D25" i="2"/>
  <c r="E24" i="2"/>
  <c r="D24" i="2"/>
  <c r="E12" i="2"/>
  <c r="H12" i="2" s="1"/>
  <c r="D12" i="2"/>
  <c r="E13" i="2"/>
  <c r="D13" i="2"/>
  <c r="E14" i="2"/>
  <c r="H14" i="2" s="1"/>
  <c r="D14" i="2"/>
  <c r="E15" i="2"/>
  <c r="D15" i="2"/>
  <c r="E11" i="2"/>
  <c r="D11" i="2"/>
  <c r="E10" i="2"/>
  <c r="D10" i="2"/>
  <c r="E9" i="2"/>
  <c r="H9" i="2" s="1"/>
  <c r="D9" i="2"/>
  <c r="E8" i="2"/>
  <c r="H8" i="2" s="1"/>
  <c r="D8" i="2"/>
  <c r="E7" i="2"/>
  <c r="D7" i="2"/>
  <c r="E6" i="2"/>
  <c r="D6" i="2"/>
  <c r="E5" i="2"/>
  <c r="D5" i="2"/>
  <c r="E4" i="2"/>
  <c r="D4" i="2"/>
  <c r="E23" i="2"/>
  <c r="D23" i="2"/>
  <c r="E22" i="2"/>
  <c r="D22" i="2"/>
  <c r="E21" i="2"/>
  <c r="D21" i="2"/>
  <c r="E20" i="2"/>
  <c r="D20" i="2"/>
  <c r="E33" i="1"/>
  <c r="D33" i="1"/>
  <c r="E32" i="1"/>
  <c r="D32" i="1"/>
  <c r="E9" i="1"/>
  <c r="D9" i="1"/>
  <c r="E8" i="1"/>
  <c r="D8" i="1"/>
  <c r="E26" i="1"/>
  <c r="D26" i="1"/>
  <c r="E24" i="1"/>
  <c r="D24" i="1"/>
  <c r="E27" i="1"/>
  <c r="D27" i="1"/>
  <c r="E25" i="1"/>
  <c r="D25" i="1"/>
  <c r="E16" i="2"/>
  <c r="D16" i="2"/>
  <c r="E18" i="2"/>
  <c r="D18" i="2"/>
  <c r="E17" i="2"/>
  <c r="D17" i="2"/>
  <c r="E19" i="2"/>
  <c r="D19" i="2"/>
  <c r="E9" i="3"/>
  <c r="D9" i="3"/>
  <c r="E10" i="3"/>
  <c r="D10" i="3"/>
  <c r="E11" i="3"/>
  <c r="D11" i="3"/>
  <c r="E8" i="3"/>
  <c r="D8" i="3"/>
  <c r="H19" i="2" l="1"/>
  <c r="D40" i="2"/>
  <c r="H11" i="2"/>
  <c r="I16" i="1"/>
  <c r="J16" i="1" s="1"/>
  <c r="E40" i="2"/>
  <c r="E26" i="3"/>
  <c r="H16" i="2"/>
  <c r="H10" i="2"/>
  <c r="H15" i="2"/>
  <c r="H13" i="2"/>
  <c r="H24" i="2"/>
  <c r="D26" i="3"/>
  <c r="J32" i="2"/>
  <c r="J12" i="3"/>
  <c r="H4" i="3"/>
  <c r="H5" i="3"/>
  <c r="H6" i="3"/>
  <c r="H7" i="3"/>
  <c r="I38" i="2"/>
  <c r="I36" i="2"/>
  <c r="I12" i="2"/>
  <c r="I14" i="2"/>
  <c r="I10" i="2"/>
  <c r="I8" i="2"/>
  <c r="F16" i="23"/>
  <c r="E16" i="23"/>
  <c r="G16" i="23"/>
  <c r="D16" i="23"/>
  <c r="I4" i="3" l="1"/>
  <c r="J8" i="2"/>
  <c r="J36" i="2"/>
  <c r="I6" i="3"/>
  <c r="J4" i="3" s="1"/>
  <c r="J12" i="2"/>
  <c r="H8" i="23"/>
  <c r="H9" i="23"/>
  <c r="H10" i="23"/>
  <c r="E45" i="24" l="1"/>
  <c r="F45" i="24"/>
  <c r="G45" i="24"/>
  <c r="D45" i="24"/>
  <c r="D51" i="22"/>
  <c r="H16" i="20"/>
  <c r="H17" i="20"/>
  <c r="H18" i="20"/>
  <c r="H19" i="20"/>
  <c r="I16" i="20" l="1"/>
  <c r="I18" i="20"/>
  <c r="Q23" i="22"/>
  <c r="K45" i="22"/>
  <c r="J16" i="20" l="1"/>
  <c r="H40" i="24"/>
  <c r="H41" i="24"/>
  <c r="H42" i="24"/>
  <c r="H43" i="24"/>
  <c r="H30" i="20"/>
  <c r="H31" i="20"/>
  <c r="H15" i="23"/>
  <c r="H14" i="23"/>
  <c r="H13" i="23"/>
  <c r="H12" i="23"/>
  <c r="H24" i="24"/>
  <c r="H25" i="24"/>
  <c r="H26" i="24"/>
  <c r="H27" i="24"/>
  <c r="H40" i="20"/>
  <c r="H41" i="20"/>
  <c r="H39" i="24"/>
  <c r="L13" i="24"/>
  <c r="L9" i="24"/>
  <c r="G47" i="20"/>
  <c r="F47" i="20"/>
  <c r="H42" i="20"/>
  <c r="H43" i="20"/>
  <c r="I40" i="24" l="1"/>
  <c r="I26" i="24"/>
  <c r="I30" i="20"/>
  <c r="I42" i="20"/>
  <c r="I42" i="24"/>
  <c r="J40" i="24" s="1"/>
  <c r="I12" i="23"/>
  <c r="I14" i="23"/>
  <c r="I24" i="24"/>
  <c r="J24" i="24" s="1"/>
  <c r="I40" i="20"/>
  <c r="J12" i="23" l="1"/>
  <c r="E39" i="20"/>
  <c r="D39" i="20"/>
  <c r="E38" i="20"/>
  <c r="D38" i="20"/>
  <c r="E33" i="20"/>
  <c r="D33" i="20"/>
  <c r="E34" i="20"/>
  <c r="D34" i="20"/>
  <c r="E32" i="20"/>
  <c r="D32" i="20"/>
  <c r="E35" i="20"/>
  <c r="D35" i="20"/>
  <c r="E15" i="14"/>
  <c r="D15" i="14"/>
  <c r="H15" i="14" s="1"/>
  <c r="E14" i="14"/>
  <c r="D14" i="14"/>
  <c r="E13" i="14"/>
  <c r="D13" i="14"/>
  <c r="H13" i="14" s="1"/>
  <c r="I12" i="14" s="1"/>
  <c r="H14" i="14" l="1"/>
  <c r="I14" i="14" s="1"/>
  <c r="F17" i="14"/>
  <c r="G17" i="14"/>
  <c r="F44" i="13"/>
  <c r="G44" i="13"/>
  <c r="F40" i="12"/>
  <c r="G40" i="12"/>
  <c r="E19" i="12"/>
  <c r="D19" i="12"/>
  <c r="E18" i="12"/>
  <c r="D18" i="12"/>
  <c r="E17" i="12"/>
  <c r="D17" i="12"/>
  <c r="E16" i="12"/>
  <c r="D16" i="12"/>
  <c r="E14" i="12"/>
  <c r="D14" i="12"/>
  <c r="E15" i="12"/>
  <c r="D15" i="12"/>
  <c r="E13" i="12"/>
  <c r="D13" i="12"/>
  <c r="E12" i="12"/>
  <c r="D12" i="12"/>
  <c r="E27" i="13"/>
  <c r="D27" i="13"/>
  <c r="E26" i="13"/>
  <c r="D26" i="13"/>
  <c r="E25" i="13"/>
  <c r="D25" i="13"/>
  <c r="E24" i="13"/>
  <c r="D24" i="13"/>
  <c r="E31" i="13"/>
  <c r="D31" i="13"/>
  <c r="E30" i="13"/>
  <c r="D30" i="13"/>
  <c r="E29" i="13"/>
  <c r="D29" i="13"/>
  <c r="E28" i="13"/>
  <c r="H28" i="13" s="1"/>
  <c r="D28" i="13"/>
  <c r="E11" i="12"/>
  <c r="D11" i="12"/>
  <c r="E10" i="12"/>
  <c r="D10" i="12"/>
  <c r="E9" i="12"/>
  <c r="D9" i="12"/>
  <c r="E8" i="12"/>
  <c r="D8" i="12"/>
  <c r="E11" i="14"/>
  <c r="D11" i="14"/>
  <c r="E10" i="14"/>
  <c r="D10" i="14"/>
  <c r="E9" i="14"/>
  <c r="D9" i="14"/>
  <c r="E8" i="14"/>
  <c r="D8" i="14"/>
  <c r="E33" i="13"/>
  <c r="D33" i="13"/>
  <c r="E35" i="13"/>
  <c r="D35" i="13"/>
  <c r="E34" i="13"/>
  <c r="H34" i="13" s="1"/>
  <c r="D34" i="13"/>
  <c r="E32" i="13"/>
  <c r="D32" i="13"/>
  <c r="H33" i="13"/>
  <c r="E15" i="13"/>
  <c r="D15" i="13"/>
  <c r="E14" i="13"/>
  <c r="D14" i="13"/>
  <c r="E13" i="13"/>
  <c r="D13" i="13"/>
  <c r="E12" i="13"/>
  <c r="D12" i="13"/>
  <c r="E25" i="12"/>
  <c r="D25" i="12"/>
  <c r="E24" i="12"/>
  <c r="D24" i="12"/>
  <c r="E7" i="12"/>
  <c r="D7" i="12"/>
  <c r="E6" i="12"/>
  <c r="D6" i="12"/>
  <c r="E35" i="12"/>
  <c r="D35" i="12"/>
  <c r="E34" i="12"/>
  <c r="D34" i="12"/>
  <c r="E33" i="12"/>
  <c r="D33" i="12"/>
  <c r="E32" i="12"/>
  <c r="D32" i="12"/>
  <c r="H32" i="13" l="1"/>
  <c r="H35" i="13"/>
  <c r="H25" i="13"/>
  <c r="H24" i="13"/>
  <c r="I24" i="13" s="1"/>
  <c r="H26" i="13"/>
  <c r="H27" i="13"/>
  <c r="I26" i="13" s="1"/>
  <c r="I32" i="13"/>
  <c r="I34" i="13"/>
  <c r="E27" i="12"/>
  <c r="D27" i="12"/>
  <c r="E26" i="12"/>
  <c r="D26" i="12"/>
  <c r="E5" i="12"/>
  <c r="D5" i="12"/>
  <c r="E4" i="12"/>
  <c r="D4" i="12"/>
  <c r="E38" i="12"/>
  <c r="D38" i="12"/>
  <c r="E36" i="13"/>
  <c r="D36" i="13"/>
  <c r="E7" i="14"/>
  <c r="D7" i="14"/>
  <c r="E6" i="14"/>
  <c r="D6" i="14"/>
  <c r="E5" i="14"/>
  <c r="D5" i="14"/>
  <c r="E4" i="14"/>
  <c r="D4" i="14"/>
  <c r="E23" i="12"/>
  <c r="D23" i="12"/>
  <c r="E22" i="12"/>
  <c r="D22" i="12"/>
  <c r="E21" i="12"/>
  <c r="D21" i="12"/>
  <c r="E20" i="12"/>
  <c r="D20" i="12"/>
  <c r="E43" i="13"/>
  <c r="D43" i="13"/>
  <c r="E42" i="13"/>
  <c r="D42" i="13"/>
  <c r="E40" i="13"/>
  <c r="D40" i="13"/>
  <c r="E23" i="13"/>
  <c r="D23" i="13"/>
  <c r="E22" i="13"/>
  <c r="D22" i="13"/>
  <c r="E21" i="13"/>
  <c r="D21" i="13"/>
  <c r="E20" i="13"/>
  <c r="D20" i="13"/>
  <c r="E11" i="13"/>
  <c r="D11" i="13"/>
  <c r="E10" i="13"/>
  <c r="D10" i="13"/>
  <c r="E9" i="13"/>
  <c r="D9" i="13"/>
  <c r="E8" i="13"/>
  <c r="D8" i="13"/>
  <c r="E17" i="13"/>
  <c r="D17" i="13"/>
  <c r="E16" i="13"/>
  <c r="D16" i="13"/>
  <c r="E19" i="13"/>
  <c r="D19" i="13"/>
  <c r="E18" i="13"/>
  <c r="D18" i="13"/>
  <c r="E31" i="12"/>
  <c r="D31" i="12"/>
  <c r="E30" i="12"/>
  <c r="D30" i="12"/>
  <c r="E29" i="12"/>
  <c r="D29" i="12"/>
  <c r="E28" i="12"/>
  <c r="D28" i="12"/>
  <c r="E6" i="13"/>
  <c r="D6" i="13"/>
  <c r="E5" i="13"/>
  <c r="D5" i="13"/>
  <c r="E7" i="13"/>
  <c r="D7" i="13"/>
  <c r="E4" i="13"/>
  <c r="D4" i="13"/>
  <c r="E37" i="12"/>
  <c r="D37" i="12"/>
  <c r="E39" i="13"/>
  <c r="D39" i="13"/>
  <c r="E38" i="13"/>
  <c r="D38" i="13"/>
  <c r="D17" i="14" l="1"/>
  <c r="E17" i="14"/>
  <c r="E44" i="13"/>
  <c r="J32" i="13"/>
  <c r="E40" i="12"/>
  <c r="D44" i="13"/>
  <c r="D40" i="12"/>
  <c r="H26" i="12"/>
  <c r="J24" i="13"/>
  <c r="H19" i="13"/>
  <c r="F72" i="7"/>
  <c r="G72" i="7"/>
  <c r="H44" i="7" l="1"/>
  <c r="H38" i="7"/>
  <c r="H37" i="7"/>
  <c r="H18" i="6"/>
  <c r="E72" i="7"/>
  <c r="H45" i="7"/>
  <c r="I44" i="7" s="1"/>
  <c r="H48" i="7"/>
  <c r="D72" i="7"/>
  <c r="H16" i="6"/>
  <c r="H21" i="7"/>
  <c r="H20" i="8"/>
  <c r="H46" i="7"/>
  <c r="H39" i="7"/>
  <c r="H47" i="7"/>
  <c r="H19" i="6"/>
  <c r="H10" i="8"/>
  <c r="H17" i="6"/>
  <c r="H69" i="6"/>
  <c r="H36" i="7"/>
  <c r="I36" i="7" l="1"/>
  <c r="I18" i="6"/>
  <c r="I46" i="7"/>
  <c r="J44" i="7" s="1"/>
  <c r="I38" i="7"/>
  <c r="H42" i="1"/>
  <c r="I16" i="6"/>
  <c r="J16" i="6" s="1"/>
  <c r="H43" i="1"/>
  <c r="J36" i="7" l="1"/>
  <c r="I42" i="1"/>
  <c r="H44" i="24" l="1"/>
  <c r="H22" i="24"/>
  <c r="H23" i="24"/>
  <c r="I22" i="24" l="1"/>
  <c r="H20" i="24"/>
  <c r="H21" i="24"/>
  <c r="I20" i="24" l="1"/>
  <c r="J20" i="24" s="1"/>
  <c r="H20" i="20"/>
  <c r="H21" i="20"/>
  <c r="H11" i="20"/>
  <c r="H10" i="12"/>
  <c r="H11" i="12"/>
  <c r="H22" i="12"/>
  <c r="H21" i="12"/>
  <c r="H20" i="12"/>
  <c r="H5" i="14"/>
  <c r="H4" i="14" l="1"/>
  <c r="H6" i="14"/>
  <c r="H9" i="13"/>
  <c r="H8" i="13"/>
  <c r="I8" i="13" s="1"/>
  <c r="H7" i="14"/>
  <c r="H23" i="12"/>
  <c r="I22" i="12" s="1"/>
  <c r="H38" i="12"/>
  <c r="H9" i="12"/>
  <c r="H8" i="12"/>
  <c r="I10" i="12"/>
  <c r="I20" i="12"/>
  <c r="H27" i="6"/>
  <c r="H61" i="6"/>
  <c r="H52" i="6"/>
  <c r="H53" i="6"/>
  <c r="H55" i="6"/>
  <c r="H10" i="6"/>
  <c r="H8" i="6"/>
  <c r="H11" i="6"/>
  <c r="H40" i="6"/>
  <c r="H43" i="6"/>
  <c r="H28" i="7"/>
  <c r="H30" i="7"/>
  <c r="H58" i="6"/>
  <c r="H12" i="8"/>
  <c r="H13" i="8"/>
  <c r="H14" i="8"/>
  <c r="F47" i="1"/>
  <c r="G47" i="1"/>
  <c r="I4" i="14" l="1"/>
  <c r="I8" i="12"/>
  <c r="I6" i="14"/>
  <c r="J4" i="14" s="1"/>
  <c r="H15" i="8"/>
  <c r="I14" i="8" s="1"/>
  <c r="H11" i="8"/>
  <c r="H42" i="6"/>
  <c r="I42" i="6" s="1"/>
  <c r="H59" i="6"/>
  <c r="I58" i="6" s="1"/>
  <c r="H31" i="7"/>
  <c r="I30" i="7" s="1"/>
  <c r="H41" i="6"/>
  <c r="I40" i="6" s="1"/>
  <c r="H54" i="6"/>
  <c r="I54" i="6" s="1"/>
  <c r="H29" i="7"/>
  <c r="I28" i="7" s="1"/>
  <c r="H9" i="6"/>
  <c r="I8" i="6" s="1"/>
  <c r="H26" i="6"/>
  <c r="I26" i="6" s="1"/>
  <c r="H60" i="6"/>
  <c r="I60" i="6" s="1"/>
  <c r="J8" i="12"/>
  <c r="J20" i="12"/>
  <c r="I52" i="6"/>
  <c r="I10" i="6"/>
  <c r="I12" i="8"/>
  <c r="H19" i="3"/>
  <c r="H18" i="3"/>
  <c r="H23" i="1"/>
  <c r="H20" i="1"/>
  <c r="H21" i="1"/>
  <c r="H22" i="1"/>
  <c r="H7" i="2"/>
  <c r="H6" i="2"/>
  <c r="H5" i="2"/>
  <c r="H4" i="2"/>
  <c r="J40" i="6" l="1"/>
  <c r="J52" i="6"/>
  <c r="I18" i="3"/>
  <c r="J56" i="6"/>
  <c r="J8" i="6"/>
  <c r="J28" i="7"/>
  <c r="J12" i="8"/>
  <c r="I22" i="1"/>
  <c r="I20" i="1"/>
  <c r="I4" i="2"/>
  <c r="I6" i="2"/>
  <c r="J20" i="1" l="1"/>
  <c r="J4" i="2"/>
  <c r="H32" i="1" l="1"/>
  <c r="H7" i="24"/>
  <c r="H4" i="24"/>
  <c r="H5" i="24"/>
  <c r="H6" i="24"/>
  <c r="H8" i="20"/>
  <c r="H23" i="20"/>
  <c r="H22" i="20"/>
  <c r="H10" i="20"/>
  <c r="H32" i="20"/>
  <c r="H33" i="20"/>
  <c r="H32" i="24"/>
  <c r="H33" i="24"/>
  <c r="H28" i="24"/>
  <c r="H29" i="24"/>
  <c r="H9" i="24"/>
  <c r="H11" i="24"/>
  <c r="H10" i="24"/>
  <c r="H8" i="24"/>
  <c r="H37" i="24"/>
  <c r="H38" i="24"/>
  <c r="I38" i="24" s="1"/>
  <c r="H18" i="24"/>
  <c r="H16" i="24"/>
  <c r="H14" i="24"/>
  <c r="H7" i="20"/>
  <c r="H13" i="24"/>
  <c r="H4" i="20"/>
  <c r="H15" i="24"/>
  <c r="H12" i="24"/>
  <c r="H31" i="24"/>
  <c r="H30" i="24"/>
  <c r="H35" i="24"/>
  <c r="H34" i="24"/>
  <c r="H19" i="24"/>
  <c r="H17" i="24"/>
  <c r="H36" i="24"/>
  <c r="H11" i="23"/>
  <c r="H7" i="23"/>
  <c r="H6" i="23"/>
  <c r="H5" i="23"/>
  <c r="H4" i="23"/>
  <c r="H12" i="20"/>
  <c r="H15" i="20"/>
  <c r="H35" i="20"/>
  <c r="H34" i="20"/>
  <c r="H45" i="20"/>
  <c r="H44" i="20"/>
  <c r="H29" i="20"/>
  <c r="H28" i="20"/>
  <c r="H27" i="20"/>
  <c r="H26" i="20"/>
  <c r="H25" i="20"/>
  <c r="H24" i="20"/>
  <c r="H39" i="20"/>
  <c r="H38" i="20"/>
  <c r="H37" i="20"/>
  <c r="H36" i="20"/>
  <c r="H6" i="20"/>
  <c r="H5" i="20"/>
  <c r="H9" i="20"/>
  <c r="H14" i="20"/>
  <c r="H16" i="23" l="1"/>
  <c r="H45" i="24"/>
  <c r="D47" i="1"/>
  <c r="E47" i="1"/>
  <c r="I4" i="24"/>
  <c r="I6" i="24"/>
  <c r="I32" i="20"/>
  <c r="I10" i="24"/>
  <c r="I8" i="24"/>
  <c r="I36" i="24"/>
  <c r="J36" i="24" s="1"/>
  <c r="I32" i="24"/>
  <c r="I34" i="24"/>
  <c r="I28" i="24"/>
  <c r="I30" i="24"/>
  <c r="I18" i="24"/>
  <c r="I16" i="24"/>
  <c r="I14" i="24"/>
  <c r="I12" i="24"/>
  <c r="E47" i="20"/>
  <c r="I6" i="23"/>
  <c r="I8" i="23"/>
  <c r="I10" i="23"/>
  <c r="I4" i="23"/>
  <c r="H13" i="20"/>
  <c r="I12" i="20" s="1"/>
  <c r="I14" i="20"/>
  <c r="I8" i="20"/>
  <c r="I10" i="20"/>
  <c r="I22" i="20"/>
  <c r="I4" i="20"/>
  <c r="I6" i="20"/>
  <c r="I36" i="20"/>
  <c r="I38" i="20"/>
  <c r="I24" i="20"/>
  <c r="I26" i="20"/>
  <c r="I28" i="20"/>
  <c r="J28" i="20" s="1"/>
  <c r="I44" i="20"/>
  <c r="I34" i="20"/>
  <c r="I20" i="20"/>
  <c r="D47" i="20"/>
  <c r="H30" i="12"/>
  <c r="H27" i="12"/>
  <c r="H32" i="12"/>
  <c r="H35" i="12"/>
  <c r="H37" i="12"/>
  <c r="H11" i="14"/>
  <c r="H10" i="14"/>
  <c r="H11" i="13"/>
  <c r="H10" i="13"/>
  <c r="H43" i="13"/>
  <c r="H42" i="13"/>
  <c r="H40" i="13"/>
  <c r="H31" i="13"/>
  <c r="H30" i="13"/>
  <c r="H29" i="13"/>
  <c r="H18" i="13"/>
  <c r="H17" i="13"/>
  <c r="H16" i="13"/>
  <c r="H15" i="13"/>
  <c r="H14" i="13"/>
  <c r="H13" i="13"/>
  <c r="H12" i="13"/>
  <c r="H23" i="13"/>
  <c r="H22" i="13"/>
  <c r="H21" i="13"/>
  <c r="H20" i="13"/>
  <c r="H7" i="13"/>
  <c r="H6" i="13"/>
  <c r="H5" i="13"/>
  <c r="H4" i="13"/>
  <c r="H38" i="13"/>
  <c r="H19" i="12"/>
  <c r="H18" i="12"/>
  <c r="H17" i="12"/>
  <c r="H16" i="12"/>
  <c r="H25" i="12"/>
  <c r="H24" i="12"/>
  <c r="H33" i="12"/>
  <c r="H15" i="12"/>
  <c r="H14" i="12"/>
  <c r="H13" i="12"/>
  <c r="H12" i="12"/>
  <c r="H7" i="12"/>
  <c r="H6" i="12"/>
  <c r="H4" i="12"/>
  <c r="H31" i="12"/>
  <c r="L72" i="11"/>
  <c r="M72" i="11"/>
  <c r="K72" i="11"/>
  <c r="J72" i="11"/>
  <c r="H18" i="7"/>
  <c r="H23" i="6"/>
  <c r="H8" i="8"/>
  <c r="H9" i="8"/>
  <c r="H6" i="8"/>
  <c r="H7" i="8"/>
  <c r="H22" i="7"/>
  <c r="H20" i="7"/>
  <c r="H5" i="8"/>
  <c r="H23" i="7"/>
  <c r="H38" i="6"/>
  <c r="H27" i="1"/>
  <c r="H26" i="1"/>
  <c r="H25" i="1"/>
  <c r="H8" i="1"/>
  <c r="H24" i="1"/>
  <c r="H11" i="1"/>
  <c r="H22" i="2"/>
  <c r="H12" i="1"/>
  <c r="H15" i="1"/>
  <c r="H13" i="1"/>
  <c r="H20" i="2"/>
  <c r="H21" i="2"/>
  <c r="H23" i="2"/>
  <c r="H21" i="3"/>
  <c r="H6" i="1"/>
  <c r="H29" i="2"/>
  <c r="H30" i="2"/>
  <c r="H26" i="2"/>
  <c r="H17" i="3"/>
  <c r="H10" i="3"/>
  <c r="H11" i="3"/>
  <c r="H48" i="2"/>
  <c r="H51" i="2"/>
  <c r="H50" i="2"/>
  <c r="H22" i="3"/>
  <c r="H20" i="3"/>
  <c r="H16" i="3"/>
  <c r="H9" i="3"/>
  <c r="H31" i="2"/>
  <c r="H28" i="2"/>
  <c r="H27" i="2"/>
  <c r="I24" i="2"/>
  <c r="H18" i="2"/>
  <c r="J32" i="20" l="1"/>
  <c r="J4" i="23"/>
  <c r="J4" i="24"/>
  <c r="H47" i="20"/>
  <c r="J28" i="24"/>
  <c r="J32" i="24"/>
  <c r="J8" i="24"/>
  <c r="J16" i="24"/>
  <c r="J12" i="24"/>
  <c r="J8" i="20"/>
  <c r="J8" i="23"/>
  <c r="J12" i="20"/>
  <c r="J20" i="20"/>
  <c r="J24" i="20"/>
  <c r="J36" i="20"/>
  <c r="J4" i="20"/>
  <c r="H39" i="13"/>
  <c r="I38" i="13" s="1"/>
  <c r="I4" i="13"/>
  <c r="I6" i="13"/>
  <c r="I18" i="12"/>
  <c r="I16" i="12"/>
  <c r="I22" i="13"/>
  <c r="I12" i="13"/>
  <c r="I14" i="13"/>
  <c r="I16" i="13"/>
  <c r="I18" i="13"/>
  <c r="I28" i="13"/>
  <c r="I30" i="13"/>
  <c r="I40" i="13"/>
  <c r="I42" i="13"/>
  <c r="I10" i="13"/>
  <c r="J8" i="13" s="1"/>
  <c r="I20" i="13"/>
  <c r="I24" i="12"/>
  <c r="H29" i="12"/>
  <c r="I6" i="12"/>
  <c r="I12" i="12"/>
  <c r="I14" i="12"/>
  <c r="H34" i="12"/>
  <c r="I34" i="12" s="1"/>
  <c r="I30" i="12"/>
  <c r="I26" i="12"/>
  <c r="H5" i="12"/>
  <c r="I4" i="12" s="1"/>
  <c r="I32" i="12"/>
  <c r="H28" i="12"/>
  <c r="I10" i="14"/>
  <c r="H9" i="14"/>
  <c r="H8" i="14"/>
  <c r="H17" i="14" s="1"/>
  <c r="H36" i="13"/>
  <c r="H44" i="13" s="1"/>
  <c r="N72" i="11"/>
  <c r="H40" i="7"/>
  <c r="H41" i="7"/>
  <c r="H42" i="7"/>
  <c r="H43" i="7"/>
  <c r="H16" i="7"/>
  <c r="H39" i="6"/>
  <c r="H24" i="6"/>
  <c r="H30" i="6"/>
  <c r="H34" i="6"/>
  <c r="H35" i="6"/>
  <c r="H20" i="6"/>
  <c r="I20" i="6" s="1"/>
  <c r="H28" i="6"/>
  <c r="I22" i="6"/>
  <c r="H31" i="6"/>
  <c r="H25" i="6"/>
  <c r="H33" i="6"/>
  <c r="H29" i="6"/>
  <c r="H17" i="7"/>
  <c r="H19" i="7"/>
  <c r="I18" i="7" s="1"/>
  <c r="H32" i="6"/>
  <c r="I10" i="8"/>
  <c r="I8" i="8"/>
  <c r="I6" i="8"/>
  <c r="I22" i="7"/>
  <c r="I20" i="7"/>
  <c r="H4" i="8"/>
  <c r="H22" i="8" s="1"/>
  <c r="H36" i="6"/>
  <c r="I22" i="3"/>
  <c r="H36" i="1"/>
  <c r="H9" i="1"/>
  <c r="I8" i="1" s="1"/>
  <c r="I26" i="1"/>
  <c r="H10" i="1"/>
  <c r="I10" i="1" s="1"/>
  <c r="I24" i="1"/>
  <c r="I22" i="2"/>
  <c r="I20" i="2"/>
  <c r="H34" i="1"/>
  <c r="H4" i="1"/>
  <c r="H35" i="1"/>
  <c r="H38" i="1"/>
  <c r="H5" i="1"/>
  <c r="H14" i="1"/>
  <c r="I14" i="1" s="1"/>
  <c r="H33" i="1"/>
  <c r="I32" i="1" s="1"/>
  <c r="H39" i="1"/>
  <c r="H37" i="1"/>
  <c r="I12" i="1"/>
  <c r="I20" i="3"/>
  <c r="H7" i="1"/>
  <c r="I6" i="1" s="1"/>
  <c r="I28" i="2"/>
  <c r="I30" i="2"/>
  <c r="I26" i="2"/>
  <c r="I16" i="3"/>
  <c r="J16" i="3" s="1"/>
  <c r="H8" i="3"/>
  <c r="H26" i="3" s="1"/>
  <c r="I10" i="3"/>
  <c r="H49" i="2"/>
  <c r="I48" i="2" s="1"/>
  <c r="I50" i="2"/>
  <c r="I18" i="2"/>
  <c r="H17" i="2"/>
  <c r="H40" i="2" s="1"/>
  <c r="I38" i="6" l="1"/>
  <c r="H40" i="12"/>
  <c r="J24" i="12"/>
  <c r="H72" i="7"/>
  <c r="I30" i="6"/>
  <c r="I32" i="6"/>
  <c r="H47" i="1"/>
  <c r="I40" i="7"/>
  <c r="J16" i="12"/>
  <c r="J12" i="14"/>
  <c r="I28" i="6"/>
  <c r="I42" i="7"/>
  <c r="I16" i="7"/>
  <c r="J16" i="7" s="1"/>
  <c r="J8" i="8"/>
  <c r="I8" i="14"/>
  <c r="J8" i="14" s="1"/>
  <c r="I24" i="6"/>
  <c r="J24" i="6" s="1"/>
  <c r="I34" i="6"/>
  <c r="J20" i="3"/>
  <c r="J28" i="2"/>
  <c r="I34" i="1"/>
  <c r="J32" i="1" s="1"/>
  <c r="I8" i="3"/>
  <c r="J8" i="3" s="1"/>
  <c r="I16" i="2"/>
  <c r="J16" i="2" s="1"/>
  <c r="J4" i="13"/>
  <c r="J20" i="13"/>
  <c r="I28" i="12"/>
  <c r="J28" i="12" s="1"/>
  <c r="J40" i="13"/>
  <c r="J28" i="13"/>
  <c r="J16" i="13"/>
  <c r="J12" i="13"/>
  <c r="J32" i="12"/>
  <c r="J4" i="12"/>
  <c r="J12" i="12"/>
  <c r="I36" i="13"/>
  <c r="J36" i="13" s="1"/>
  <c r="I36" i="6"/>
  <c r="J36" i="6" s="1"/>
  <c r="J20" i="6"/>
  <c r="J20" i="7"/>
  <c r="I4" i="8"/>
  <c r="J4" i="8" s="1"/>
  <c r="I36" i="1"/>
  <c r="I4" i="1"/>
  <c r="J4" i="1" s="1"/>
  <c r="J24" i="1"/>
  <c r="J8" i="1"/>
  <c r="J20" i="2"/>
  <c r="J12" i="1"/>
  <c r="I38" i="1"/>
  <c r="J48" i="2"/>
  <c r="J24" i="2"/>
  <c r="J28" i="6" l="1"/>
  <c r="J32" i="6"/>
  <c r="J40" i="7"/>
  <c r="J36" i="1"/>
</calcChain>
</file>

<file path=xl/sharedStrings.xml><?xml version="1.0" encoding="utf-8"?>
<sst xmlns="http://schemas.openxmlformats.org/spreadsheetml/2006/main" count="3661" uniqueCount="357">
  <si>
    <t>1.</t>
  </si>
  <si>
    <t>név</t>
  </si>
  <si>
    <t>egyesület</t>
  </si>
  <si>
    <t>Egri Széchenyi</t>
  </si>
  <si>
    <t>teli</t>
  </si>
  <si>
    <t>tarolás</t>
  </si>
  <si>
    <t>üres</t>
  </si>
  <si>
    <t>IGAZOLT</t>
  </si>
  <si>
    <t>FÉRFI</t>
  </si>
  <si>
    <t>2.</t>
  </si>
  <si>
    <t>3.</t>
  </si>
  <si>
    <t>4.</t>
  </si>
  <si>
    <t>5.</t>
  </si>
  <si>
    <t>6.</t>
  </si>
  <si>
    <t>AMATŐR</t>
  </si>
  <si>
    <t>NŐI</t>
  </si>
  <si>
    <t>Komáromi Roland</t>
  </si>
  <si>
    <t>Mester József</t>
  </si>
  <si>
    <t>VILATI Eger SE</t>
  </si>
  <si>
    <t>Golyószórók</t>
  </si>
  <si>
    <t>Szabó Géza</t>
  </si>
  <si>
    <t>Bárdos László</t>
  </si>
  <si>
    <t>Lukács Zoltán</t>
  </si>
  <si>
    <t>Tóth László</t>
  </si>
  <si>
    <t>Berta Dániel</t>
  </si>
  <si>
    <t>Ökrös Imre</t>
  </si>
  <si>
    <t>Csorba Enikő</t>
  </si>
  <si>
    <t>Szeri Zsuzsanna</t>
  </si>
  <si>
    <t>Ácsné Monori Mária</t>
  </si>
  <si>
    <t>Fehér Mihályné</t>
  </si>
  <si>
    <t>Tamasi Antal</t>
  </si>
  <si>
    <t>Gembiczky Gyula</t>
  </si>
  <si>
    <t>Tamasi Balázs</t>
  </si>
  <si>
    <t>Mayer Árpád</t>
  </si>
  <si>
    <t>Tóth Balázs</t>
  </si>
  <si>
    <t>Gembiczky Dávid</t>
  </si>
  <si>
    <t>Nagy Gábor</t>
  </si>
  <si>
    <t>EGYÉNI</t>
  </si>
  <si>
    <t>IG.FFI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</si>
  <si>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</si>
  <si>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</si>
  <si>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</si>
  <si>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</si>
  <si>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</si>
  <si>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</si>
  <si>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</si>
  <si>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</si>
  <si>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</si>
  <si>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</si>
  <si>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</si>
  <si>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</si>
  <si>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</si>
  <si>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</si>
  <si>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AM. FFI</t>
  </si>
  <si>
    <t>AM. NŐI</t>
  </si>
  <si>
    <t>PÁROS</t>
  </si>
  <si>
    <t>Molnár László</t>
  </si>
  <si>
    <t>Hudák Bianka</t>
  </si>
  <si>
    <t>Sajóbábony</t>
  </si>
  <si>
    <t>Ács Péter</t>
  </si>
  <si>
    <t>Kavalecz Tibor</t>
  </si>
  <si>
    <t>Angyal Károly</t>
  </si>
  <si>
    <t>Zvolenszki László</t>
  </si>
  <si>
    <t>Debrecen</t>
  </si>
  <si>
    <t>Balogh Mária</t>
  </si>
  <si>
    <t>Oláh Sándor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</si>
  <si>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</si>
  <si>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</si>
  <si>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</si>
  <si>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</si>
  <si>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</si>
  <si>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</si>
  <si>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</si>
  <si>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</si>
  <si>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</si>
  <si>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</si>
  <si>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</si>
  <si>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</si>
  <si>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Csontos Ádám</t>
  </si>
  <si>
    <t>Vincze Zoltán</t>
  </si>
  <si>
    <t>Csínyi Gábor</t>
  </si>
  <si>
    <t>Orosz István</t>
  </si>
  <si>
    <t>Szoboszlai István</t>
  </si>
  <si>
    <t>Zsiros Péter</t>
  </si>
  <si>
    <t>Zsiros Olivér</t>
  </si>
  <si>
    <t xml:space="preserve">Sajóbábony </t>
  </si>
  <si>
    <t>Balázs Péter</t>
  </si>
  <si>
    <t>Telek Tamás</t>
  </si>
  <si>
    <t>Fancsik István</t>
  </si>
  <si>
    <t>33.</t>
  </si>
  <si>
    <t>34.</t>
  </si>
  <si>
    <t>35.</t>
  </si>
  <si>
    <t>36.</t>
  </si>
  <si>
    <t>37.</t>
  </si>
  <si>
    <t>38.</t>
  </si>
  <si>
    <t>39.</t>
  </si>
  <si>
    <t>Pálfy Andrea</t>
  </si>
  <si>
    <t>Pócs Karola</t>
  </si>
  <si>
    <t>átlag:</t>
  </si>
  <si>
    <t>Bajzát Rafael</t>
  </si>
  <si>
    <t>Egri Széchenyi II.</t>
  </si>
  <si>
    <t>VILATI Eger SE III.</t>
  </si>
  <si>
    <t>AGRIA</t>
  </si>
  <si>
    <t>TŐSI-K</t>
  </si>
  <si>
    <t>TÉLI</t>
  </si>
  <si>
    <t>ÖSSZ. PONT</t>
  </si>
  <si>
    <t>40.</t>
  </si>
  <si>
    <t>41.</t>
  </si>
  <si>
    <t>42.</t>
  </si>
  <si>
    <t>43.</t>
  </si>
  <si>
    <t>44.</t>
  </si>
  <si>
    <t>45.</t>
  </si>
  <si>
    <t>46.</t>
  </si>
  <si>
    <t>VILATI Eger</t>
  </si>
  <si>
    <t>Danóczy Richárd</t>
  </si>
  <si>
    <t>Szabó István</t>
  </si>
  <si>
    <t>Mátra</t>
  </si>
  <si>
    <t>Habók István</t>
  </si>
  <si>
    <t>Mezőtúr</t>
  </si>
  <si>
    <t>Németh Béla</t>
  </si>
  <si>
    <t>Somos TK</t>
  </si>
  <si>
    <t>Princz Sándor</t>
  </si>
  <si>
    <t>Balázs Patrik</t>
  </si>
  <si>
    <t>Verbovszky György</t>
  </si>
  <si>
    <t>Pál József</t>
  </si>
  <si>
    <t>Nagy Tibor</t>
  </si>
  <si>
    <t>Gulyás Ferenc</t>
  </si>
  <si>
    <t>Egri Széchenyi I.</t>
  </si>
  <si>
    <t>VILATI Eger SE I.</t>
  </si>
  <si>
    <t>VILATI Eger SE II.</t>
  </si>
  <si>
    <t>Busa Endre</t>
  </si>
  <si>
    <t>Démász I.</t>
  </si>
  <si>
    <t>Benke Zoltán</t>
  </si>
  <si>
    <t>Démász II.</t>
  </si>
  <si>
    <t>Kozsuch György</t>
  </si>
  <si>
    <t>Soós Béla</t>
  </si>
  <si>
    <t>Kántor János</t>
  </si>
  <si>
    <t>Scheibli Zoltán</t>
  </si>
  <si>
    <t>Terjék János</t>
  </si>
  <si>
    <t>Sajóbábony I.</t>
  </si>
  <si>
    <t>47.</t>
  </si>
  <si>
    <t>Bóta Ervin</t>
  </si>
  <si>
    <t>Kazincbarcika I.</t>
  </si>
  <si>
    <t>Kazincbarcika II.</t>
  </si>
  <si>
    <t xml:space="preserve"> </t>
  </si>
  <si>
    <t>ÖSSZETETT PÁROS NŐI</t>
  </si>
  <si>
    <t>ÖSSZETETT CSAPAT NŐI</t>
  </si>
  <si>
    <t>ÖSSZETETT CSAPAT AM. FFI</t>
  </si>
  <si>
    <t>ÖSSZETETT CSAPAT IG. FFI</t>
  </si>
  <si>
    <t>ÖSSZETETT PÁROS IG. FFI</t>
  </si>
  <si>
    <t>ÖSSZETETT PÁROS AM. FFI</t>
  </si>
  <si>
    <t>Leblanc Zsolt</t>
  </si>
  <si>
    <t>Fábián Ferenc</t>
  </si>
  <si>
    <t>Nagy Sándor</t>
  </si>
  <si>
    <t>Szabó Attila</t>
  </si>
  <si>
    <t>Falkus Dániel</t>
  </si>
  <si>
    <t>V</t>
  </si>
  <si>
    <t>A</t>
  </si>
  <si>
    <t>Tő</t>
  </si>
  <si>
    <t>Té</t>
  </si>
  <si>
    <t>Vavrik József</t>
  </si>
  <si>
    <t>Viktória</t>
  </si>
  <si>
    <t>Bagoly József</t>
  </si>
  <si>
    <t>Spányik László</t>
  </si>
  <si>
    <t>Busa Pál</t>
  </si>
  <si>
    <t>Zelenyák Ferenc</t>
  </si>
  <si>
    <t>Haladás</t>
  </si>
  <si>
    <t>Benedeczky Mónika</t>
  </si>
  <si>
    <t>Mátra SE</t>
  </si>
  <si>
    <t>Leblancz Zsolt</t>
  </si>
  <si>
    <t>Sille Attila</t>
  </si>
  <si>
    <t>Kéccer kettő</t>
  </si>
  <si>
    <t>Szabó Zoltán</t>
  </si>
  <si>
    <t>Bíró Patrik</t>
  </si>
  <si>
    <t>Szabó Norbert</t>
  </si>
  <si>
    <t>AHB</t>
  </si>
  <si>
    <t>Pálfi Tihamér</t>
  </si>
  <si>
    <t>Pólyik Viola</t>
  </si>
  <si>
    <t>Papp László</t>
  </si>
  <si>
    <t>Salgózd TK</t>
  </si>
  <si>
    <t>Molnár György</t>
  </si>
  <si>
    <t>Tóth Ferenc</t>
  </si>
  <si>
    <t>Berta István</t>
  </si>
  <si>
    <t>Ivanyik Richárd</t>
  </si>
  <si>
    <t>T</t>
  </si>
  <si>
    <t>Váradi András</t>
  </si>
  <si>
    <t>Démász III.</t>
  </si>
  <si>
    <t>SALGÓZD</t>
  </si>
  <si>
    <t>Pócsné B. A.</t>
  </si>
  <si>
    <t>Selmeci Sándor</t>
  </si>
  <si>
    <t>Salgózd</t>
  </si>
  <si>
    <t>Pócsné Bán Adrienn</t>
  </si>
  <si>
    <t>Borsodi Boszik</t>
  </si>
  <si>
    <t>Sipos Tamásné</t>
  </si>
  <si>
    <t>Tóth Lászlóné</t>
  </si>
  <si>
    <t>Bernáth Mónika</t>
  </si>
  <si>
    <t>Juhász Anita</t>
  </si>
  <si>
    <t>Pásztor Enikő</t>
  </si>
  <si>
    <t>Rákoshegy</t>
  </si>
  <si>
    <t>Pogonyi Richárd</t>
  </si>
  <si>
    <t>Tasi Ádám</t>
  </si>
  <si>
    <t>Gajdos Violetta</t>
  </si>
  <si>
    <t>Iványi László</t>
  </si>
  <si>
    <t>Sooós Béla</t>
  </si>
  <si>
    <t>Vincze Péter</t>
  </si>
  <si>
    <t>Juhász Gábor</t>
  </si>
  <si>
    <t>Leövei Péter</t>
  </si>
  <si>
    <t>Barátság 21</t>
  </si>
  <si>
    <t>Liskány István</t>
  </si>
  <si>
    <t>Schweigler Mihály</t>
  </si>
  <si>
    <t>Liskány Péter</t>
  </si>
  <si>
    <t>NYTK</t>
  </si>
  <si>
    <t>Kósa István</t>
  </si>
  <si>
    <t>Cseszlai Sándor</t>
  </si>
  <si>
    <t>Király Tünde</t>
  </si>
  <si>
    <t>Jónás István</t>
  </si>
  <si>
    <t>Ragályi Tamás</t>
  </si>
  <si>
    <t>Ander Tamás</t>
  </si>
  <si>
    <t>Pócsné Bán Adrien</t>
  </si>
  <si>
    <t>Vilati Eger ifi</t>
  </si>
  <si>
    <t>TŐSI KUPA 2017</t>
  </si>
  <si>
    <t>Fábián Fer-Berta Ist</t>
  </si>
  <si>
    <t>Nagy Árpád-Nagy Andrea</t>
  </si>
  <si>
    <t>ifj. Vavrik József</t>
  </si>
  <si>
    <t>Balogh Mátyás</t>
  </si>
  <si>
    <t>Gubucz Máté</t>
  </si>
  <si>
    <t>Nádudvari Imre</t>
  </si>
  <si>
    <t>Rómer Pál</t>
  </si>
  <si>
    <t>TÉLI KUPA 2018. JAN.</t>
  </si>
  <si>
    <t>TÉLI KUPA 2018. jan.</t>
  </si>
  <si>
    <t>Egri Széchenyi  II.</t>
  </si>
  <si>
    <t>Nyíregyháza</t>
  </si>
  <si>
    <t>Kocsa Róbert</t>
  </si>
  <si>
    <t>Nádújfalu</t>
  </si>
  <si>
    <t>Patócs Tamás</t>
  </si>
  <si>
    <t>Nagy Árpád</t>
  </si>
  <si>
    <t>Kavalecz Tamás</t>
  </si>
  <si>
    <t>Veze Gábor</t>
  </si>
  <si>
    <t>Szecsődi Péter</t>
  </si>
  <si>
    <t>Gazdig János</t>
  </si>
  <si>
    <t>Sajóbábony II.</t>
  </si>
  <si>
    <t>Komjáti Krisztián</t>
  </si>
  <si>
    <t>Aranyosi László</t>
  </si>
  <si>
    <t>Pócsné B. Adrienn</t>
  </si>
  <si>
    <t>Berki Zita</t>
  </si>
  <si>
    <t>Csak Csajok</t>
  </si>
  <si>
    <t>Jéger László</t>
  </si>
  <si>
    <t>Asztalos Erzsébet</t>
  </si>
  <si>
    <t>Makai Zoltán</t>
  </si>
  <si>
    <t>VILATI KUPA 2018</t>
  </si>
  <si>
    <t>Kocza Rudolf</t>
  </si>
  <si>
    <t>Szegedi Ferenc</t>
  </si>
  <si>
    <t>Varga Zoltán</t>
  </si>
  <si>
    <t>Viktória I.</t>
  </si>
  <si>
    <t>Viktória II.</t>
  </si>
  <si>
    <t>NKM Elektr. I.</t>
  </si>
  <si>
    <t>NKM Elektr. II.</t>
  </si>
  <si>
    <t>Olajos Mihály</t>
  </si>
  <si>
    <t>Koszuch Gy.-Busa Pál</t>
  </si>
  <si>
    <t>Molnár Antal</t>
  </si>
  <si>
    <t>NKM Elektr. iI.</t>
  </si>
  <si>
    <t>Bálintfy Cintia</t>
  </si>
  <si>
    <t>Kis Horváth Luca</t>
  </si>
  <si>
    <t>Mátyás Viola</t>
  </si>
  <si>
    <t>Mátra SE I.</t>
  </si>
  <si>
    <t>Mátra SE II.</t>
  </si>
  <si>
    <t>Szalai Béla</t>
  </si>
  <si>
    <t>Szabó T. - Berta I.</t>
  </si>
  <si>
    <t>BTK</t>
  </si>
  <si>
    <t>Márton Ferenc</t>
  </si>
  <si>
    <t>Nagy Imre</t>
  </si>
  <si>
    <t>Sáfár Zoltán</t>
  </si>
  <si>
    <t>Juhász Bence</t>
  </si>
  <si>
    <t>Mártonné R. M.</t>
  </si>
  <si>
    <t>Bene Ferencné</t>
  </si>
  <si>
    <t>Szalainé B. Zs.</t>
  </si>
  <si>
    <t>Varga Petra</t>
  </si>
  <si>
    <t>Leőwey Péter</t>
  </si>
  <si>
    <t>Schwegler Mihály</t>
  </si>
  <si>
    <t>Szolnok I.</t>
  </si>
  <si>
    <t>Varga István</t>
  </si>
  <si>
    <t>Varga Mátyás</t>
  </si>
  <si>
    <t>Bíró Ervin</t>
  </si>
  <si>
    <t>Somodi Károly</t>
  </si>
  <si>
    <t>Szolnok II.</t>
  </si>
  <si>
    <t>Hajdú Zoltán</t>
  </si>
  <si>
    <t>Földi József</t>
  </si>
  <si>
    <t>Pordán Ádám</t>
  </si>
  <si>
    <t>Bezzeg Bence</t>
  </si>
  <si>
    <t xml:space="preserve">Molnár Márton </t>
  </si>
  <si>
    <t>Somoskő</t>
  </si>
  <si>
    <t>Gacsalné F. Irén</t>
  </si>
  <si>
    <t>VILATI</t>
  </si>
  <si>
    <t>Simon G.</t>
  </si>
  <si>
    <t>Cimborák</t>
  </si>
  <si>
    <t>Gábor Magdolna</t>
  </si>
  <si>
    <t>egyéni</t>
  </si>
  <si>
    <t>Top-Auto KUPA 2018</t>
  </si>
  <si>
    <t>AGRIA KUPA 2018</t>
  </si>
  <si>
    <t>Somosi TK II.</t>
  </si>
  <si>
    <t>Molnár Márton</t>
  </si>
  <si>
    <t>Molnár Zoltán</t>
  </si>
  <si>
    <t>Molnár Mihály</t>
  </si>
  <si>
    <t>Molnár Péter</t>
  </si>
  <si>
    <t>Selmeczi Sándor</t>
  </si>
  <si>
    <t>Atomerőmű SE</t>
  </si>
  <si>
    <t>Szalai János</t>
  </si>
  <si>
    <t>Égner Attila</t>
  </si>
  <si>
    <t>Hercegfalvi József</t>
  </si>
  <si>
    <t>Berkes Ferenc</t>
  </si>
  <si>
    <t>Berkes Zsuzsanna</t>
  </si>
  <si>
    <t>Bérces Zsuzsanna</t>
  </si>
  <si>
    <t>Gyarmathy Katalin</t>
  </si>
  <si>
    <t>Nádasdi István</t>
  </si>
  <si>
    <t>Horváth Attila</t>
  </si>
  <si>
    <t>Horváth János</t>
  </si>
  <si>
    <t>Balogh József</t>
  </si>
  <si>
    <t>Szolnok</t>
  </si>
  <si>
    <t>Rácz Sándor</t>
  </si>
  <si>
    <t>Viktória  II.</t>
  </si>
  <si>
    <t>Ifj. Vavrik József</t>
  </si>
  <si>
    <t>Balog Péter</t>
  </si>
  <si>
    <t>NYTK I.</t>
  </si>
  <si>
    <t>Fehér Béla</t>
  </si>
  <si>
    <t>Mogyorósi Péter</t>
  </si>
  <si>
    <t>Finta Zoltán</t>
  </si>
  <si>
    <t>Ráski János</t>
  </si>
  <si>
    <t>NYTK II.</t>
  </si>
  <si>
    <t>Bíró Zsolt</t>
  </si>
  <si>
    <t>Szlovenszki Attila</t>
  </si>
  <si>
    <t>Péter Sándor</t>
  </si>
  <si>
    <t>Szojka Miklós</t>
  </si>
  <si>
    <t>Kramcsák Dominik</t>
  </si>
  <si>
    <t>KazincbarcikaI II.</t>
  </si>
  <si>
    <t>48.</t>
  </si>
  <si>
    <t>49.</t>
  </si>
  <si>
    <t>50.</t>
  </si>
  <si>
    <t>51.</t>
  </si>
  <si>
    <t>52.</t>
  </si>
  <si>
    <t>53.</t>
  </si>
  <si>
    <t>54.</t>
  </si>
  <si>
    <t>Kőbányai Aranykéz</t>
  </si>
  <si>
    <t>Holló László</t>
  </si>
  <si>
    <t>Mészáros Tamás</t>
  </si>
  <si>
    <t>Csilinkó Imre</t>
  </si>
  <si>
    <t>József Gábor</t>
  </si>
  <si>
    <t>Simon Gergő</t>
  </si>
  <si>
    <t>55.</t>
  </si>
  <si>
    <t>56.</t>
  </si>
  <si>
    <t>57.</t>
  </si>
  <si>
    <t>58.</t>
  </si>
  <si>
    <t>59.</t>
  </si>
  <si>
    <t>60.</t>
  </si>
  <si>
    <t>61.</t>
  </si>
  <si>
    <t>Tóth Fernc</t>
  </si>
  <si>
    <t>Nagy Á-Berta I.</t>
  </si>
  <si>
    <t>Tápiósztm.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</si>
</sst>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0.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4"/>
      <color rgb="FF0070C0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u/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u/>
      <sz val="12.1"/>
      <color theme="1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42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0" xfId="0" applyFont="1" applyBorder="1"/>
    <xf numFmtId="1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Fill="1" applyBorder="1"/>
    <xf numFmtId="0" fontId="12" fillId="0" borderId="0" xfId="0" applyFont="1"/>
    <xf numFmtId="0" fontId="13" fillId="0" borderId="0" xfId="0" applyFont="1"/>
    <xf numFmtId="0" fontId="0" fillId="0" borderId="1" xfId="0" applyFill="1" applyBorder="1"/>
    <xf numFmtId="0" fontId="1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9" fillId="0" borderId="0" xfId="1" applyAlignment="1" applyProtection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0" fontId="0" fillId="0" borderId="1" xfId="0" applyFont="1" applyBorder="1"/>
    <xf numFmtId="0" fontId="8" fillId="0" borderId="0" xfId="0" applyFont="1" applyBorder="1"/>
    <xf numFmtId="0" fontId="8" fillId="0" borderId="1" xfId="0" applyFont="1" applyBorder="1"/>
    <xf numFmtId="0" fontId="20" fillId="0" borderId="0" xfId="0" applyFont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4" fillId="0" borderId="0" xfId="0" applyFont="1"/>
    <xf numFmtId="0" fontId="28" fillId="0" borderId="0" xfId="0" applyFont="1"/>
    <xf numFmtId="165" fontId="5" fillId="0" borderId="0" xfId="0" applyNumberFormat="1" applyFont="1"/>
    <xf numFmtId="0" fontId="29" fillId="0" borderId="0" xfId="0" applyFont="1"/>
    <xf numFmtId="0" fontId="5" fillId="0" borderId="0" xfId="0" applyFont="1" applyAlignment="1">
      <alignment horizontal="right"/>
    </xf>
    <xf numFmtId="0" fontId="12" fillId="0" borderId="0" xfId="0" applyFont="1" applyBorder="1"/>
    <xf numFmtId="0" fontId="12" fillId="0" borderId="1" xfId="0" applyFont="1" applyBorder="1" applyAlignment="1">
      <alignment horizontal="center"/>
    </xf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Border="1"/>
    <xf numFmtId="0" fontId="5" fillId="0" borderId="0" xfId="0" applyFont="1" applyBorder="1"/>
    <xf numFmtId="0" fontId="29" fillId="0" borderId="0" xfId="0" applyFont="1" applyBorder="1"/>
    <xf numFmtId="0" fontId="0" fillId="0" borderId="0" xfId="0" applyFont="1"/>
    <xf numFmtId="0" fontId="12" fillId="0" borderId="0" xfId="0" applyFont="1" applyFill="1" applyBorder="1"/>
    <xf numFmtId="0" fontId="20" fillId="0" borderId="0" xfId="0" applyFont="1" applyBorder="1"/>
    <xf numFmtId="0" fontId="1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/>
    <xf numFmtId="1" fontId="12" fillId="0" borderId="0" xfId="0" applyNumberFormat="1" applyFont="1" applyBorder="1" applyAlignment="1">
      <alignment horizontal="center"/>
    </xf>
    <xf numFmtId="0" fontId="34" fillId="0" borderId="0" xfId="0" applyFont="1"/>
    <xf numFmtId="165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1" xfId="0" applyFont="1" applyBorder="1"/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9" fillId="0" borderId="0" xfId="1" applyAlignment="1" applyProtection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5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0" fontId="13" fillId="0" borderId="0" xfId="0" applyFont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0" fillId="0" borderId="2" xfId="0" applyFill="1" applyBorder="1"/>
    <xf numFmtId="0" fontId="1" fillId="0" borderId="0" xfId="0" applyFont="1" applyAlignment="1">
      <alignment horizontal="center" vertical="center"/>
    </xf>
    <xf numFmtId="0" fontId="37" fillId="0" borderId="0" xfId="0" applyFont="1"/>
    <xf numFmtId="0" fontId="21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8" fillId="0" borderId="0" xfId="0" applyFont="1"/>
    <xf numFmtId="0" fontId="40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3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right"/>
    </xf>
    <xf numFmtId="0" fontId="0" fillId="0" borderId="6" xfId="0" applyBorder="1"/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1" fillId="0" borderId="0" xfId="0" quotePrefix="1" applyFont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9" xfId="0" applyBorder="1"/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0" fillId="0" borderId="3" xfId="0" applyBorder="1"/>
    <xf numFmtId="0" fontId="28" fillId="0" borderId="4" xfId="0" applyFont="1" applyBorder="1"/>
    <xf numFmtId="0" fontId="31" fillId="0" borderId="4" xfId="0" applyFont="1" applyBorder="1" applyAlignment="1">
      <alignment horizontal="center"/>
    </xf>
    <xf numFmtId="0" fontId="35" fillId="0" borderId="4" xfId="0" applyFont="1" applyBorder="1"/>
    <xf numFmtId="0" fontId="0" fillId="0" borderId="5" xfId="0" applyBorder="1"/>
    <xf numFmtId="0" fontId="36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7" xfId="0" applyBorder="1"/>
    <xf numFmtId="0" fontId="3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4" fillId="0" borderId="10" xfId="0" applyFont="1" applyBorder="1"/>
    <xf numFmtId="0" fontId="3" fillId="0" borderId="4" xfId="0" applyFont="1" applyBorder="1"/>
    <xf numFmtId="0" fontId="29" fillId="0" borderId="5" xfId="0" applyFont="1" applyBorder="1"/>
    <xf numFmtId="0" fontId="29" fillId="0" borderId="7" xfId="0" applyFont="1" applyBorder="1"/>
    <xf numFmtId="0" fontId="5" fillId="0" borderId="7" xfId="0" applyFont="1" applyBorder="1"/>
    <xf numFmtId="0" fontId="0" fillId="0" borderId="0" xfId="0" quotePrefix="1" applyBorder="1"/>
    <xf numFmtId="0" fontId="12" fillId="0" borderId="9" xfId="0" applyFont="1" applyBorder="1"/>
    <xf numFmtId="0" fontId="5" fillId="0" borderId="10" xfId="0" applyFont="1" applyBorder="1"/>
    <xf numFmtId="0" fontId="4" fillId="0" borderId="9" xfId="0" quotePrefix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4" xfId="0" applyFont="1" applyBorder="1"/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0" borderId="0" xfId="2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1" fillId="0" borderId="0" xfId="0" applyFont="1" applyAlignment="1">
      <alignment vertical="center"/>
    </xf>
    <xf numFmtId="0" fontId="18" fillId="0" borderId="0" xfId="0" applyFont="1" applyAlignment="1"/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3">
    <cellStyle name="Ezres" xfId="2" builtinId="3"/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1"/>
  <sheetViews>
    <sheetView zoomScaleNormal="100" workbookViewId="0">
      <selection activeCell="B2" sqref="B2"/>
    </sheetView>
  </sheetViews>
  <sheetFormatPr defaultRowHeight="15.75" x14ac:dyDescent="0.25"/>
  <cols>
    <col min="1" max="1" width="2.42578125" style="16" customWidth="1"/>
    <col min="2" max="2" width="23" customWidth="1"/>
    <col min="3" max="3" width="15.28515625" customWidth="1"/>
    <col min="4" max="4" width="5.42578125" style="8" customWidth="1"/>
    <col min="5" max="5" width="7" style="8" customWidth="1"/>
    <col min="6" max="6" width="4.85546875" style="8" customWidth="1"/>
    <col min="7" max="7" width="3.5703125" style="8" customWidth="1"/>
    <col min="8" max="8" width="5.7109375" style="40" customWidth="1"/>
    <col min="9" max="9" width="7.140625" customWidth="1"/>
    <col min="10" max="10" width="7.42578125" customWidth="1"/>
  </cols>
  <sheetData>
    <row r="1" spans="1:10" ht="18.75" x14ac:dyDescent="0.3">
      <c r="B1" s="10" t="s">
        <v>297</v>
      </c>
      <c r="E1" s="11" t="s">
        <v>7</v>
      </c>
      <c r="F1" s="7"/>
      <c r="G1" s="7"/>
      <c r="H1" s="39" t="s">
        <v>8</v>
      </c>
    </row>
    <row r="2" spans="1:10" ht="3" customHeight="1" x14ac:dyDescent="0.25"/>
    <row r="3" spans="1:10" x14ac:dyDescent="0.25">
      <c r="B3" s="1" t="s">
        <v>1</v>
      </c>
      <c r="C3" s="1" t="s">
        <v>2</v>
      </c>
      <c r="D3" s="1" t="s">
        <v>4</v>
      </c>
      <c r="E3" s="1" t="s">
        <v>5</v>
      </c>
      <c r="F3" s="1" t="s">
        <v>6</v>
      </c>
      <c r="G3" s="1">
        <v>9</v>
      </c>
    </row>
    <row r="4" spans="1:10" ht="15.75" customHeight="1" x14ac:dyDescent="0.25">
      <c r="A4" s="56" t="s">
        <v>0</v>
      </c>
      <c r="B4" s="33" t="s">
        <v>173</v>
      </c>
      <c r="C4" s="33" t="s">
        <v>175</v>
      </c>
      <c r="D4" s="35">
        <f>90+93+104+96</f>
        <v>383</v>
      </c>
      <c r="E4" s="35">
        <f>60+63+63+71</f>
        <v>257</v>
      </c>
      <c r="F4" s="35">
        <v>0</v>
      </c>
      <c r="G4" s="35">
        <v>14</v>
      </c>
      <c r="H4" s="207">
        <f t="shared" ref="H4:H11" si="0">+D4+E4</f>
        <v>640</v>
      </c>
      <c r="I4" s="224">
        <f>+H4+H5</f>
        <v>1224</v>
      </c>
      <c r="J4" s="221">
        <f>+I4+I6</f>
        <v>2313</v>
      </c>
    </row>
    <row r="5" spans="1:10" ht="15.75" customHeight="1" x14ac:dyDescent="0.25">
      <c r="A5" s="56"/>
      <c r="B5" s="26" t="s">
        <v>242</v>
      </c>
      <c r="C5" s="26" t="s">
        <v>175</v>
      </c>
      <c r="D5" s="27">
        <f>106+108+89+105</f>
        <v>408</v>
      </c>
      <c r="E5" s="27">
        <f>36+62+35+43</f>
        <v>176</v>
      </c>
      <c r="F5" s="27">
        <v>2</v>
      </c>
      <c r="G5" s="27">
        <v>14</v>
      </c>
      <c r="H5" s="41">
        <f t="shared" si="0"/>
        <v>584</v>
      </c>
      <c r="I5" s="218"/>
      <c r="J5" s="222"/>
    </row>
    <row r="6" spans="1:10" ht="15.75" customHeight="1" x14ac:dyDescent="0.25">
      <c r="A6" s="56"/>
      <c r="B6" s="26" t="s">
        <v>174</v>
      </c>
      <c r="C6" s="26" t="s">
        <v>175</v>
      </c>
      <c r="D6" s="27">
        <f>80+97+97+85</f>
        <v>359</v>
      </c>
      <c r="E6" s="27">
        <f>30+65+51+42</f>
        <v>188</v>
      </c>
      <c r="F6" s="27">
        <v>4</v>
      </c>
      <c r="G6" s="27">
        <v>8</v>
      </c>
      <c r="H6" s="41">
        <f t="shared" si="0"/>
        <v>547</v>
      </c>
      <c r="I6" s="218">
        <f>+H6+H7</f>
        <v>1089</v>
      </c>
      <c r="J6" s="222"/>
    </row>
    <row r="7" spans="1:10" ht="15.75" customHeight="1" x14ac:dyDescent="0.25">
      <c r="A7" s="55"/>
      <c r="B7" s="30" t="s">
        <v>155</v>
      </c>
      <c r="C7" s="30" t="s">
        <v>175</v>
      </c>
      <c r="D7" s="31">
        <f>87+93+84+100</f>
        <v>364</v>
      </c>
      <c r="E7" s="31">
        <f>36+61+45+36</f>
        <v>178</v>
      </c>
      <c r="F7" s="31">
        <v>7</v>
      </c>
      <c r="G7" s="31">
        <v>11</v>
      </c>
      <c r="H7" s="42">
        <f t="shared" si="0"/>
        <v>542</v>
      </c>
      <c r="I7" s="219"/>
      <c r="J7" s="223"/>
    </row>
    <row r="8" spans="1:10" ht="15" customHeight="1" x14ac:dyDescent="0.25">
      <c r="A8" s="57" t="s">
        <v>9</v>
      </c>
      <c r="B8" s="26" t="s">
        <v>30</v>
      </c>
      <c r="C8" s="26" t="s">
        <v>129</v>
      </c>
      <c r="D8" s="35">
        <f>96+101+107+91</f>
        <v>395</v>
      </c>
      <c r="E8" s="35">
        <f>42+62+53+61</f>
        <v>218</v>
      </c>
      <c r="F8" s="35">
        <v>2</v>
      </c>
      <c r="G8" s="35">
        <v>17</v>
      </c>
      <c r="H8" s="207">
        <f t="shared" si="0"/>
        <v>613</v>
      </c>
      <c r="I8" s="224">
        <f t="shared" ref="I8" si="1">+H8+H9</f>
        <v>1168</v>
      </c>
      <c r="J8" s="221">
        <f>+I8+I10</f>
        <v>2295</v>
      </c>
    </row>
    <row r="9" spans="1:10" ht="15" customHeight="1" x14ac:dyDescent="0.25">
      <c r="A9" s="56"/>
      <c r="B9" s="26" t="s">
        <v>83</v>
      </c>
      <c r="C9" s="26" t="s">
        <v>129</v>
      </c>
      <c r="D9" s="27">
        <f>106+80+91+101</f>
        <v>378</v>
      </c>
      <c r="E9" s="27">
        <f>45+36+45+51</f>
        <v>177</v>
      </c>
      <c r="F9" s="27">
        <v>5</v>
      </c>
      <c r="G9" s="27">
        <v>11</v>
      </c>
      <c r="H9" s="41">
        <f t="shared" si="0"/>
        <v>555</v>
      </c>
      <c r="I9" s="218"/>
      <c r="J9" s="222"/>
    </row>
    <row r="10" spans="1:10" ht="15" customHeight="1" x14ac:dyDescent="0.25">
      <c r="A10" s="56"/>
      <c r="B10" s="26" t="s">
        <v>32</v>
      </c>
      <c r="C10" s="26" t="s">
        <v>129</v>
      </c>
      <c r="D10" s="27">
        <f>96+105+95+94</f>
        <v>390</v>
      </c>
      <c r="E10" s="27">
        <f>45+60+54+33</f>
        <v>192</v>
      </c>
      <c r="F10" s="27">
        <v>4</v>
      </c>
      <c r="G10" s="27">
        <v>11</v>
      </c>
      <c r="H10" s="41">
        <f t="shared" si="0"/>
        <v>582</v>
      </c>
      <c r="I10" s="218">
        <f>+H10+H11</f>
        <v>1127</v>
      </c>
      <c r="J10" s="222"/>
    </row>
    <row r="11" spans="1:10" ht="15" customHeight="1" x14ac:dyDescent="0.25">
      <c r="A11" s="55"/>
      <c r="B11" s="30" t="s">
        <v>84</v>
      </c>
      <c r="C11" s="30" t="s">
        <v>129</v>
      </c>
      <c r="D11" s="31">
        <f>87+100+82+93</f>
        <v>362</v>
      </c>
      <c r="E11" s="31">
        <f>42+33+45+63</f>
        <v>183</v>
      </c>
      <c r="F11" s="31">
        <v>5</v>
      </c>
      <c r="G11" s="31">
        <v>8</v>
      </c>
      <c r="H11" s="42">
        <f t="shared" si="0"/>
        <v>545</v>
      </c>
      <c r="I11" s="219"/>
      <c r="J11" s="223"/>
    </row>
    <row r="12" spans="1:10" ht="15" customHeight="1" x14ac:dyDescent="0.25">
      <c r="A12" s="57" t="s">
        <v>10</v>
      </c>
      <c r="B12" s="33" t="s">
        <v>280</v>
      </c>
      <c r="C12" s="33" t="s">
        <v>279</v>
      </c>
      <c r="D12" s="35">
        <f>99+93+84+93</f>
        <v>369</v>
      </c>
      <c r="E12" s="35">
        <f>44+39+52+45</f>
        <v>180</v>
      </c>
      <c r="F12" s="35">
        <v>8</v>
      </c>
      <c r="G12" s="35">
        <v>8</v>
      </c>
      <c r="H12" s="43">
        <f t="shared" ref="H12:H23" si="2">+D12+E12</f>
        <v>549</v>
      </c>
      <c r="I12" s="224">
        <f t="shared" ref="I12" si="3">+H12+H13</f>
        <v>1095</v>
      </c>
      <c r="J12" s="221">
        <f>+I12+I14</f>
        <v>2234</v>
      </c>
    </row>
    <row r="13" spans="1:10" ht="15" customHeight="1" x14ac:dyDescent="0.25">
      <c r="A13" s="56"/>
      <c r="B13" s="26" t="s">
        <v>281</v>
      </c>
      <c r="C13" s="26" t="s">
        <v>279</v>
      </c>
      <c r="D13" s="27">
        <f>89+81+98+93</f>
        <v>361</v>
      </c>
      <c r="E13" s="27">
        <f>44+54+51+36</f>
        <v>185</v>
      </c>
      <c r="F13" s="27">
        <v>6</v>
      </c>
      <c r="G13" s="27">
        <v>8</v>
      </c>
      <c r="H13" s="41">
        <f t="shared" si="2"/>
        <v>546</v>
      </c>
      <c r="I13" s="218"/>
      <c r="J13" s="222"/>
    </row>
    <row r="14" spans="1:10" ht="15" customHeight="1" x14ac:dyDescent="0.25">
      <c r="A14" s="56"/>
      <c r="B14" s="26" t="s">
        <v>282</v>
      </c>
      <c r="C14" s="26" t="s">
        <v>279</v>
      </c>
      <c r="D14" s="27">
        <f>90+92+92+103</f>
        <v>377</v>
      </c>
      <c r="E14" s="27">
        <f>52+52+32+44</f>
        <v>180</v>
      </c>
      <c r="F14" s="27">
        <v>1</v>
      </c>
      <c r="G14" s="27">
        <v>5</v>
      </c>
      <c r="H14" s="41">
        <f t="shared" si="2"/>
        <v>557</v>
      </c>
      <c r="I14" s="218">
        <f t="shared" ref="I14" si="4">+H14+H15</f>
        <v>1139</v>
      </c>
      <c r="J14" s="222"/>
    </row>
    <row r="15" spans="1:10" ht="15" customHeight="1" x14ac:dyDescent="0.25">
      <c r="A15" s="55"/>
      <c r="B15" s="30" t="s">
        <v>283</v>
      </c>
      <c r="C15" s="30" t="s">
        <v>279</v>
      </c>
      <c r="D15" s="31">
        <f>92+98+96+84</f>
        <v>370</v>
      </c>
      <c r="E15" s="31">
        <f>51+54+62+45</f>
        <v>212</v>
      </c>
      <c r="F15" s="31">
        <v>1</v>
      </c>
      <c r="G15" s="31">
        <v>7</v>
      </c>
      <c r="H15" s="42">
        <f t="shared" si="2"/>
        <v>582</v>
      </c>
      <c r="I15" s="219"/>
      <c r="J15" s="223"/>
    </row>
    <row r="16" spans="1:10" ht="15" customHeight="1" x14ac:dyDescent="0.25">
      <c r="A16" s="57" t="s">
        <v>11</v>
      </c>
      <c r="B16" s="26" t="s">
        <v>285</v>
      </c>
      <c r="C16" s="26" t="s">
        <v>284</v>
      </c>
      <c r="D16" s="27">
        <f>90+87+89+100</f>
        <v>366</v>
      </c>
      <c r="E16" s="27">
        <f>52+54+44+33</f>
        <v>183</v>
      </c>
      <c r="F16" s="27">
        <v>3</v>
      </c>
      <c r="G16" s="27">
        <v>12</v>
      </c>
      <c r="H16" s="41">
        <f t="shared" si="2"/>
        <v>549</v>
      </c>
      <c r="I16" s="218">
        <f t="shared" ref="I16" si="5">+H16+H17</f>
        <v>1099</v>
      </c>
      <c r="J16" s="221">
        <f>+I16+I18</f>
        <v>2181</v>
      </c>
    </row>
    <row r="17" spans="1:10" ht="15" customHeight="1" x14ac:dyDescent="0.25">
      <c r="A17" s="56"/>
      <c r="B17" s="26" t="s">
        <v>286</v>
      </c>
      <c r="C17" s="26" t="s">
        <v>284</v>
      </c>
      <c r="D17" s="27">
        <f>81+91+84+95</f>
        <v>351</v>
      </c>
      <c r="E17" s="27">
        <f>59+59+27+54</f>
        <v>199</v>
      </c>
      <c r="F17" s="27">
        <v>3</v>
      </c>
      <c r="G17" s="27">
        <v>5</v>
      </c>
      <c r="H17" s="41">
        <f t="shared" si="2"/>
        <v>550</v>
      </c>
      <c r="I17" s="218"/>
      <c r="J17" s="222"/>
    </row>
    <row r="18" spans="1:10" ht="15" customHeight="1" x14ac:dyDescent="0.25">
      <c r="A18" s="56"/>
      <c r="B18" t="s">
        <v>287</v>
      </c>
      <c r="C18" t="s">
        <v>284</v>
      </c>
      <c r="D18" s="8">
        <f>88+87+88+107</f>
        <v>370</v>
      </c>
      <c r="E18" s="8">
        <f>43+36+34+43</f>
        <v>156</v>
      </c>
      <c r="F18" s="8">
        <v>8</v>
      </c>
      <c r="G18" s="8">
        <v>9</v>
      </c>
      <c r="H18" s="41">
        <f t="shared" si="2"/>
        <v>526</v>
      </c>
      <c r="I18" s="218">
        <f t="shared" ref="I18" si="6">+H18+H19</f>
        <v>1082</v>
      </c>
      <c r="J18" s="222"/>
    </row>
    <row r="19" spans="1:10" ht="15" customHeight="1" x14ac:dyDescent="0.25">
      <c r="A19" s="55"/>
      <c r="B19" s="30" t="s">
        <v>288</v>
      </c>
      <c r="C19" s="30" t="s">
        <v>284</v>
      </c>
      <c r="D19" s="31">
        <f>105+91+88+88</f>
        <v>372</v>
      </c>
      <c r="E19" s="31">
        <f>44+53+34+53</f>
        <v>184</v>
      </c>
      <c r="F19" s="31">
        <v>7</v>
      </c>
      <c r="G19" s="31">
        <v>8</v>
      </c>
      <c r="H19" s="42">
        <f t="shared" si="2"/>
        <v>556</v>
      </c>
      <c r="I19" s="219"/>
      <c r="J19" s="223"/>
    </row>
    <row r="20" spans="1:10" ht="15.75" customHeight="1" x14ac:dyDescent="0.25">
      <c r="A20" s="57" t="s">
        <v>12</v>
      </c>
      <c r="B20" s="48" t="s">
        <v>269</v>
      </c>
      <c r="C20" s="48" t="s">
        <v>268</v>
      </c>
      <c r="D20" s="8">
        <f>101+88+85+94</f>
        <v>368</v>
      </c>
      <c r="E20" s="8">
        <f>36+53+45+29</f>
        <v>163</v>
      </c>
      <c r="F20" s="8">
        <v>3</v>
      </c>
      <c r="G20" s="8">
        <v>9</v>
      </c>
      <c r="H20" s="41">
        <f t="shared" si="2"/>
        <v>531</v>
      </c>
      <c r="I20" s="218">
        <f t="shared" ref="I20" si="7">+H20+H21</f>
        <v>1008</v>
      </c>
      <c r="J20" s="221">
        <f>+I20+I22</f>
        <v>2170</v>
      </c>
    </row>
    <row r="21" spans="1:10" ht="15" customHeight="1" x14ac:dyDescent="0.25">
      <c r="A21" s="56"/>
      <c r="B21" s="48" t="s">
        <v>270</v>
      </c>
      <c r="C21" s="48" t="s">
        <v>268</v>
      </c>
      <c r="D21" s="8">
        <f>83+75+84+81</f>
        <v>323</v>
      </c>
      <c r="E21" s="8">
        <f>25+45+44+40</f>
        <v>154</v>
      </c>
      <c r="F21" s="8">
        <v>9</v>
      </c>
      <c r="G21" s="8">
        <v>6</v>
      </c>
      <c r="H21" s="41">
        <f t="shared" si="2"/>
        <v>477</v>
      </c>
      <c r="I21" s="218"/>
      <c r="J21" s="222"/>
    </row>
    <row r="22" spans="1:10" ht="13.5" customHeight="1" x14ac:dyDescent="0.25">
      <c r="A22" s="56"/>
      <c r="B22" s="48" t="s">
        <v>272</v>
      </c>
      <c r="C22" s="48" t="s">
        <v>268</v>
      </c>
      <c r="D22" s="8">
        <f>97+87+94+96</f>
        <v>374</v>
      </c>
      <c r="E22" s="8">
        <f>60+68+44+45</f>
        <v>217</v>
      </c>
      <c r="F22" s="8">
        <v>2</v>
      </c>
      <c r="G22" s="8">
        <v>10</v>
      </c>
      <c r="H22" s="41">
        <f t="shared" si="2"/>
        <v>591</v>
      </c>
      <c r="I22" s="218">
        <f t="shared" ref="I22" si="8">+H22+H23</f>
        <v>1162</v>
      </c>
      <c r="J22" s="222"/>
    </row>
    <row r="23" spans="1:10" ht="15" customHeight="1" x14ac:dyDescent="0.25">
      <c r="A23" s="55"/>
      <c r="B23" s="48" t="s">
        <v>271</v>
      </c>
      <c r="C23" s="48" t="s">
        <v>268</v>
      </c>
      <c r="D23" s="31">
        <f>95+93+98+93</f>
        <v>379</v>
      </c>
      <c r="E23" s="74">
        <f>50+52+45+45</f>
        <v>192</v>
      </c>
      <c r="F23" s="31">
        <v>0</v>
      </c>
      <c r="G23" s="74">
        <v>9</v>
      </c>
      <c r="H23" s="42">
        <f t="shared" si="2"/>
        <v>571</v>
      </c>
      <c r="I23" s="219"/>
      <c r="J23" s="223"/>
    </row>
    <row r="24" spans="1:10" ht="15" customHeight="1" x14ac:dyDescent="0.25">
      <c r="A24" s="57" t="s">
        <v>13</v>
      </c>
      <c r="B24" s="33" t="s">
        <v>78</v>
      </c>
      <c r="C24" s="33" t="s">
        <v>128</v>
      </c>
      <c r="D24" s="35">
        <f>92+102+88+98</f>
        <v>380</v>
      </c>
      <c r="E24" s="35">
        <f>49+41+44+44</f>
        <v>178</v>
      </c>
      <c r="F24" s="35">
        <v>1</v>
      </c>
      <c r="G24" s="35">
        <v>10</v>
      </c>
      <c r="H24" s="43">
        <f t="shared" ref="H24:H27" si="9">+D24+E24</f>
        <v>558</v>
      </c>
      <c r="I24" s="224">
        <f t="shared" ref="I24" si="10">+H24+H25</f>
        <v>1100</v>
      </c>
      <c r="J24" s="221">
        <f>+I24+I26</f>
        <v>2167</v>
      </c>
    </row>
    <row r="25" spans="1:10" ht="15" customHeight="1" x14ac:dyDescent="0.25">
      <c r="A25" s="56"/>
      <c r="B25" s="26" t="s">
        <v>79</v>
      </c>
      <c r="C25" s="26" t="s">
        <v>128</v>
      </c>
      <c r="D25" s="27">
        <f>94+91+88+84</f>
        <v>357</v>
      </c>
      <c r="E25" s="28">
        <f>50+38+52+45</f>
        <v>185</v>
      </c>
      <c r="F25" s="27">
        <v>2</v>
      </c>
      <c r="G25" s="27">
        <v>10</v>
      </c>
      <c r="H25" s="41">
        <f t="shared" si="9"/>
        <v>542</v>
      </c>
      <c r="I25" s="218"/>
      <c r="J25" s="222"/>
    </row>
    <row r="26" spans="1:10" ht="15" customHeight="1" x14ac:dyDescent="0.25">
      <c r="A26" s="56"/>
      <c r="B26" s="26" t="s">
        <v>56</v>
      </c>
      <c r="C26" s="26" t="s">
        <v>128</v>
      </c>
      <c r="D26" s="27">
        <f>93+84+88+103</f>
        <v>368</v>
      </c>
      <c r="E26" s="27">
        <f>36+36+54+31</f>
        <v>157</v>
      </c>
      <c r="F26" s="28">
        <v>3</v>
      </c>
      <c r="G26" s="27">
        <v>10</v>
      </c>
      <c r="H26" s="41">
        <f t="shared" si="9"/>
        <v>525</v>
      </c>
      <c r="I26" s="218">
        <f t="shared" ref="I26" si="11">+H26+H27</f>
        <v>1067</v>
      </c>
      <c r="J26" s="222"/>
    </row>
    <row r="27" spans="1:10" ht="15" customHeight="1" x14ac:dyDescent="0.25">
      <c r="A27" s="55"/>
      <c r="B27" s="30" t="s">
        <v>36</v>
      </c>
      <c r="C27" s="30" t="s">
        <v>128</v>
      </c>
      <c r="D27" s="31">
        <f>103+83+81+86</f>
        <v>353</v>
      </c>
      <c r="E27" s="31">
        <f>45+48+53+43</f>
        <v>189</v>
      </c>
      <c r="F27" s="31">
        <v>3</v>
      </c>
      <c r="G27" s="31">
        <v>4</v>
      </c>
      <c r="H27" s="42">
        <f t="shared" si="9"/>
        <v>542</v>
      </c>
      <c r="I27" s="219"/>
      <c r="J27" s="223"/>
    </row>
    <row r="28" spans="1:10" ht="15" customHeight="1" x14ac:dyDescent="0.25">
      <c r="A28" s="57" t="s">
        <v>39</v>
      </c>
      <c r="B28" t="s">
        <v>87</v>
      </c>
      <c r="C28" t="s">
        <v>294</v>
      </c>
      <c r="H28" s="40">
        <v>567</v>
      </c>
      <c r="I28" s="225">
        <f>+H28+H29</f>
        <v>1130</v>
      </c>
      <c r="J28" s="220">
        <f>+I28+I30</f>
        <v>2166</v>
      </c>
    </row>
    <row r="29" spans="1:10" ht="15" customHeight="1" x14ac:dyDescent="0.25">
      <c r="A29" s="56"/>
      <c r="B29" t="s">
        <v>88</v>
      </c>
      <c r="C29" t="s">
        <v>294</v>
      </c>
      <c r="H29" s="40">
        <v>563</v>
      </c>
      <c r="I29" s="225"/>
      <c r="J29" s="220"/>
    </row>
    <row r="30" spans="1:10" ht="15" customHeight="1" x14ac:dyDescent="0.25">
      <c r="A30" s="56"/>
      <c r="B30" s="26" t="s">
        <v>232</v>
      </c>
      <c r="C30" s="26" t="s">
        <v>294</v>
      </c>
      <c r="D30" s="27"/>
      <c r="E30" s="27"/>
      <c r="F30" s="27"/>
      <c r="G30" s="27"/>
      <c r="H30" s="41">
        <v>536</v>
      </c>
      <c r="I30" s="218">
        <f>+H30+H31</f>
        <v>1036</v>
      </c>
      <c r="J30" s="220"/>
    </row>
    <row r="31" spans="1:10" ht="15" customHeight="1" x14ac:dyDescent="0.25">
      <c r="A31" s="55"/>
      <c r="B31" s="30" t="s">
        <v>293</v>
      </c>
      <c r="C31" s="30" t="s">
        <v>294</v>
      </c>
      <c r="D31" s="31"/>
      <c r="E31" s="31"/>
      <c r="F31" s="31"/>
      <c r="G31" s="31"/>
      <c r="H31" s="42">
        <v>500</v>
      </c>
      <c r="I31" s="219"/>
      <c r="J31" s="220"/>
    </row>
    <row r="32" spans="1:10" ht="15" customHeight="1" x14ac:dyDescent="0.25">
      <c r="A32" s="57" t="s">
        <v>40</v>
      </c>
      <c r="B32" s="48" t="s">
        <v>99</v>
      </c>
      <c r="C32" t="s">
        <v>127</v>
      </c>
      <c r="D32" s="8">
        <f>91+85+88+84</f>
        <v>348</v>
      </c>
      <c r="E32" s="8">
        <f>43+34+62+44</f>
        <v>183</v>
      </c>
      <c r="F32" s="8">
        <v>6</v>
      </c>
      <c r="G32" s="8">
        <v>6</v>
      </c>
      <c r="H32" s="41">
        <f t="shared" ref="H32:H34" si="12">+D32+E32</f>
        <v>531</v>
      </c>
      <c r="I32" s="218">
        <f>+H32+H33</f>
        <v>1099</v>
      </c>
      <c r="J32" s="221">
        <f t="shared" ref="J32" si="13">+I32+I34</f>
        <v>2118</v>
      </c>
    </row>
    <row r="33" spans="1:10" ht="15" customHeight="1" x14ac:dyDescent="0.25">
      <c r="A33" s="56"/>
      <c r="B33" s="48" t="s">
        <v>16</v>
      </c>
      <c r="C33" t="s">
        <v>127</v>
      </c>
      <c r="D33" s="8">
        <f>95+89+87+85</f>
        <v>356</v>
      </c>
      <c r="E33" s="8">
        <f>59+54+36+63</f>
        <v>212</v>
      </c>
      <c r="F33" s="8">
        <v>4</v>
      </c>
      <c r="G33" s="8">
        <v>13</v>
      </c>
      <c r="H33" s="41">
        <f t="shared" si="12"/>
        <v>568</v>
      </c>
      <c r="I33" s="225"/>
      <c r="J33" s="222"/>
    </row>
    <row r="34" spans="1:10" x14ac:dyDescent="0.25">
      <c r="B34" s="48" t="s">
        <v>125</v>
      </c>
      <c r="C34" s="26" t="s">
        <v>127</v>
      </c>
      <c r="D34" s="27">
        <f>85+86+90+104</f>
        <v>365</v>
      </c>
      <c r="E34" s="27">
        <f>36+35+35+20</f>
        <v>126</v>
      </c>
      <c r="F34" s="27">
        <v>14</v>
      </c>
      <c r="G34" s="27">
        <v>4</v>
      </c>
      <c r="H34" s="41">
        <f t="shared" si="12"/>
        <v>491</v>
      </c>
      <c r="I34" s="218">
        <f>+H34+H35</f>
        <v>1019</v>
      </c>
      <c r="J34" s="222"/>
    </row>
    <row r="35" spans="1:10" x14ac:dyDescent="0.25">
      <c r="A35" s="55"/>
      <c r="B35" s="51" t="s">
        <v>124</v>
      </c>
      <c r="C35" s="30" t="s">
        <v>127</v>
      </c>
      <c r="D35" s="31">
        <f>84+87+92+91</f>
        <v>354</v>
      </c>
      <c r="E35" s="31">
        <f>36+43+52+43</f>
        <v>174</v>
      </c>
      <c r="F35" s="31">
        <v>5</v>
      </c>
      <c r="G35" s="74">
        <v>4</v>
      </c>
      <c r="H35" s="42">
        <f t="shared" ref="H35" si="14">+D35+E35</f>
        <v>528</v>
      </c>
      <c r="I35" s="219"/>
      <c r="J35" s="223"/>
    </row>
    <row r="36" spans="1:10" x14ac:dyDescent="0.25">
      <c r="A36" s="16" t="s">
        <v>41</v>
      </c>
      <c r="B36" s="33" t="s">
        <v>34</v>
      </c>
      <c r="C36" s="58" t="s">
        <v>101</v>
      </c>
      <c r="D36" s="35"/>
      <c r="E36" s="35"/>
      <c r="F36" s="35"/>
      <c r="G36" s="35"/>
      <c r="H36" s="43">
        <f t="shared" ref="H36:H37" si="15">+D36+E36</f>
        <v>0</v>
      </c>
      <c r="I36" s="224">
        <f>+H36+H37</f>
        <v>0</v>
      </c>
      <c r="J36" s="221">
        <f>+I36+I38</f>
        <v>1091</v>
      </c>
    </row>
    <row r="37" spans="1:10" x14ac:dyDescent="0.25">
      <c r="B37" s="26" t="s">
        <v>35</v>
      </c>
      <c r="C37" s="59" t="s">
        <v>101</v>
      </c>
      <c r="D37" s="27"/>
      <c r="E37" s="27"/>
      <c r="F37" s="27"/>
      <c r="G37" s="27"/>
      <c r="H37" s="41">
        <f t="shared" si="15"/>
        <v>0</v>
      </c>
      <c r="I37" s="218"/>
      <c r="J37" s="222"/>
    </row>
    <row r="38" spans="1:10" x14ac:dyDescent="0.25">
      <c r="B38" s="26" t="s">
        <v>31</v>
      </c>
      <c r="C38" s="59" t="s">
        <v>101</v>
      </c>
      <c r="D38" s="28">
        <f>70+91+104+92</f>
        <v>357</v>
      </c>
      <c r="E38" s="27">
        <f>63+54+53+45</f>
        <v>215</v>
      </c>
      <c r="F38" s="27">
        <v>1</v>
      </c>
      <c r="G38" s="27">
        <v>11</v>
      </c>
      <c r="H38" s="41">
        <f t="shared" ref="H38:H39" si="16">+D38+E38</f>
        <v>572</v>
      </c>
      <c r="I38" s="218">
        <f>+H38+H39</f>
        <v>1091</v>
      </c>
      <c r="J38" s="222"/>
    </row>
    <row r="39" spans="1:10" x14ac:dyDescent="0.25">
      <c r="A39" s="55"/>
      <c r="B39" s="30" t="s">
        <v>33</v>
      </c>
      <c r="C39" s="60" t="s">
        <v>101</v>
      </c>
      <c r="D39" s="31">
        <f>92+89+88+93</f>
        <v>362</v>
      </c>
      <c r="E39" s="31">
        <f>43+36+44+34</f>
        <v>157</v>
      </c>
      <c r="F39" s="31">
        <v>6</v>
      </c>
      <c r="G39" s="31">
        <v>7</v>
      </c>
      <c r="H39" s="42">
        <f t="shared" si="16"/>
        <v>519</v>
      </c>
      <c r="I39" s="219"/>
      <c r="J39" s="223"/>
    </row>
    <row r="40" spans="1:10" x14ac:dyDescent="0.25">
      <c r="B40" s="26" t="s">
        <v>56</v>
      </c>
      <c r="C40" s="26" t="s">
        <v>128</v>
      </c>
      <c r="D40" s="27">
        <v>380</v>
      </c>
      <c r="E40" s="27">
        <f>27+33+53+58</f>
        <v>171</v>
      </c>
      <c r="F40" s="27">
        <v>4</v>
      </c>
      <c r="G40" s="27">
        <v>13</v>
      </c>
      <c r="H40" s="41">
        <f t="shared" ref="H40:H41" si="17">+D40+E40</f>
        <v>551</v>
      </c>
      <c r="I40" s="218">
        <f t="shared" ref="I40" si="18">+H40+H41</f>
        <v>1102</v>
      </c>
    </row>
    <row r="41" spans="1:10" x14ac:dyDescent="0.25">
      <c r="B41" s="26" t="s">
        <v>36</v>
      </c>
      <c r="C41" s="26" t="s">
        <v>128</v>
      </c>
      <c r="D41" s="8">
        <f>80+96+96+95</f>
        <v>367</v>
      </c>
      <c r="E41" s="8">
        <f>33+49+50+52</f>
        <v>184</v>
      </c>
      <c r="F41" s="8">
        <v>6</v>
      </c>
      <c r="G41" s="8">
        <v>8</v>
      </c>
      <c r="H41" s="41">
        <f t="shared" si="17"/>
        <v>551</v>
      </c>
      <c r="I41" s="218"/>
    </row>
    <row r="42" spans="1:10" x14ac:dyDescent="0.25">
      <c r="B42" s="48" t="s">
        <v>176</v>
      </c>
      <c r="C42" t="s">
        <v>100</v>
      </c>
      <c r="D42" s="8">
        <f>91+89+87+77</f>
        <v>344</v>
      </c>
      <c r="E42" s="8">
        <f>44+36+35+39</f>
        <v>154</v>
      </c>
      <c r="F42" s="8">
        <v>5</v>
      </c>
      <c r="G42" s="8">
        <v>1</v>
      </c>
      <c r="H42" s="41">
        <f t="shared" ref="H42:H43" si="19">+D42+E42</f>
        <v>498</v>
      </c>
      <c r="I42" s="218">
        <f t="shared" ref="I42" si="20">+H42+H43</f>
        <v>1045</v>
      </c>
    </row>
    <row r="43" spans="1:10" x14ac:dyDescent="0.25">
      <c r="B43" s="48" t="s">
        <v>22</v>
      </c>
      <c r="C43" t="s">
        <v>100</v>
      </c>
      <c r="D43" s="8">
        <f>97+87+87+86</f>
        <v>357</v>
      </c>
      <c r="E43" s="8">
        <f>44+50+60+36</f>
        <v>190</v>
      </c>
      <c r="F43" s="8">
        <v>4</v>
      </c>
      <c r="G43" s="8">
        <v>11</v>
      </c>
      <c r="H43" s="41">
        <f t="shared" si="19"/>
        <v>547</v>
      </c>
      <c r="I43" s="218"/>
    </row>
    <row r="44" spans="1:10" x14ac:dyDescent="0.25">
      <c r="B44" s="26" t="s">
        <v>199</v>
      </c>
      <c r="C44" s="26" t="s">
        <v>18</v>
      </c>
      <c r="D44" s="27">
        <f>72+65+63+83</f>
        <v>283</v>
      </c>
      <c r="E44" s="27">
        <f>35+17+24+34</f>
        <v>110</v>
      </c>
      <c r="F44" s="27">
        <v>26</v>
      </c>
      <c r="G44" s="27">
        <v>1</v>
      </c>
      <c r="H44" s="41">
        <f>+D44+E44</f>
        <v>393</v>
      </c>
      <c r="I44" s="218">
        <f>+H44+H45</f>
        <v>815</v>
      </c>
    </row>
    <row r="45" spans="1:10" x14ac:dyDescent="0.25">
      <c r="B45" s="26" t="s">
        <v>185</v>
      </c>
      <c r="C45" s="26" t="s">
        <v>18</v>
      </c>
      <c r="D45" s="27">
        <f>71+66+88+77</f>
        <v>302</v>
      </c>
      <c r="E45" s="27">
        <f>36+25+35+24</f>
        <v>120</v>
      </c>
      <c r="F45" s="27">
        <v>17</v>
      </c>
      <c r="G45" s="27">
        <v>1</v>
      </c>
      <c r="H45" s="41">
        <f>+D45+E45</f>
        <v>422</v>
      </c>
      <c r="I45" s="218"/>
    </row>
    <row r="46" spans="1:10" x14ac:dyDescent="0.25">
      <c r="B46" t="s">
        <v>289</v>
      </c>
      <c r="C46" t="s">
        <v>290</v>
      </c>
      <c r="D46" s="8">
        <f>100+96+93+90</f>
        <v>379</v>
      </c>
      <c r="E46" s="8">
        <f>54+44+35+38</f>
        <v>171</v>
      </c>
      <c r="F46" s="8">
        <v>4</v>
      </c>
      <c r="G46" s="8">
        <v>5</v>
      </c>
      <c r="H46" s="41">
        <f>+D46+E46</f>
        <v>550</v>
      </c>
    </row>
    <row r="47" spans="1:10" ht="15" x14ac:dyDescent="0.25">
      <c r="C47" s="44" t="s">
        <v>98</v>
      </c>
      <c r="D47" s="37">
        <f>AVERAGE(D8:D43)</f>
        <v>365.1</v>
      </c>
      <c r="E47" s="37">
        <f>AVERAGE(E8:E43)</f>
        <v>181.66666666666666</v>
      </c>
      <c r="F47" s="38">
        <f>AVERAGE(F8:F43)</f>
        <v>4.3666666666666663</v>
      </c>
      <c r="G47" s="38">
        <f>AVERAGE(G8:G43)</f>
        <v>8.5</v>
      </c>
      <c r="H47" s="109">
        <f>AVERAGE(H8:H43)</f>
        <v>515.80555555555554</v>
      </c>
    </row>
    <row r="48" spans="1:10" x14ac:dyDescent="0.25">
      <c r="B48" s="48" t="s">
        <v>165</v>
      </c>
      <c r="C48" s="48" t="s">
        <v>171</v>
      </c>
    </row>
    <row r="49" spans="2:3" x14ac:dyDescent="0.25">
      <c r="B49" s="48" t="s">
        <v>170</v>
      </c>
      <c r="C49" s="48" t="s">
        <v>171</v>
      </c>
    </row>
    <row r="50" spans="2:3" x14ac:dyDescent="0.25">
      <c r="B50" s="48" t="s">
        <v>202</v>
      </c>
      <c r="C50" s="48" t="s">
        <v>171</v>
      </c>
    </row>
    <row r="51" spans="2:3" x14ac:dyDescent="0.25">
      <c r="B51" s="51" t="s">
        <v>114</v>
      </c>
      <c r="C51" s="51" t="s">
        <v>171</v>
      </c>
    </row>
  </sheetData>
  <mergeCells count="30">
    <mergeCell ref="I44:I45"/>
    <mergeCell ref="I16:I17"/>
    <mergeCell ref="J16:J19"/>
    <mergeCell ref="I18:I19"/>
    <mergeCell ref="I40:I41"/>
    <mergeCell ref="I42:I43"/>
    <mergeCell ref="I24:I25"/>
    <mergeCell ref="J24:J27"/>
    <mergeCell ref="I26:I27"/>
    <mergeCell ref="J32:J35"/>
    <mergeCell ref="I32:I33"/>
    <mergeCell ref="I34:I35"/>
    <mergeCell ref="I38:I39"/>
    <mergeCell ref="J36:J39"/>
    <mergeCell ref="I36:I37"/>
    <mergeCell ref="I28:I29"/>
    <mergeCell ref="I30:I31"/>
    <mergeCell ref="J28:J31"/>
    <mergeCell ref="J4:J7"/>
    <mergeCell ref="I8:I9"/>
    <mergeCell ref="J8:J11"/>
    <mergeCell ref="I10:I11"/>
    <mergeCell ref="I4:I5"/>
    <mergeCell ref="I6:I7"/>
    <mergeCell ref="J12:J15"/>
    <mergeCell ref="I12:I13"/>
    <mergeCell ref="I14:I15"/>
    <mergeCell ref="I20:I21"/>
    <mergeCell ref="I22:I23"/>
    <mergeCell ref="J20:J23"/>
  </mergeCells>
  <pageMargins left="0.35433070866141736" right="0.31496062992125984" top="0.31496062992125984" bottom="0.74803149606299213" header="0.19685039370078741" footer="0.31496062992125984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72"/>
  <sheetViews>
    <sheetView tabSelected="1" topLeftCell="A49" zoomScaleNormal="100" workbookViewId="0">
      <selection activeCell="G61" sqref="G61"/>
    </sheetView>
  </sheetViews>
  <sheetFormatPr defaultRowHeight="15" x14ac:dyDescent="0.25"/>
  <cols>
    <col min="1" max="1" width="3.140625" style="16" customWidth="1"/>
    <col min="2" max="2" width="17.7109375" customWidth="1"/>
    <col min="3" max="3" width="16" customWidth="1"/>
    <col min="4" max="4" width="5.5703125" style="17" customWidth="1"/>
    <col min="5" max="5" width="3.5703125" style="50" customWidth="1"/>
    <col min="6" max="6" width="3" customWidth="1"/>
    <col min="7" max="7" width="18.85546875" customWidth="1"/>
    <col min="8" max="8" width="17.85546875" customWidth="1"/>
    <col min="9" max="9" width="6.42578125" style="17" customWidth="1"/>
    <col min="10" max="10" width="3.28515625" style="116" customWidth="1"/>
    <col min="11" max="11" width="2.85546875" customWidth="1"/>
    <col min="12" max="12" width="20.5703125" customWidth="1"/>
    <col min="13" max="13" width="14.42578125" customWidth="1"/>
    <col min="14" max="14" width="6.28515625" style="17" customWidth="1"/>
  </cols>
  <sheetData>
    <row r="1" spans="1:14" ht="18.75" x14ac:dyDescent="0.3">
      <c r="B1" s="10" t="s">
        <v>298</v>
      </c>
    </row>
    <row r="2" spans="1:14" ht="3" customHeight="1" x14ac:dyDescent="0.25"/>
    <row r="3" spans="1:14" x14ac:dyDescent="0.25">
      <c r="B3" s="12" t="s">
        <v>55</v>
      </c>
    </row>
    <row r="4" spans="1:14" ht="1.5" customHeight="1" x14ac:dyDescent="0.25"/>
    <row r="5" spans="1:14" ht="13.5" customHeight="1" x14ac:dyDescent="0.25">
      <c r="C5" s="14" t="s">
        <v>38</v>
      </c>
      <c r="E5" s="88"/>
      <c r="F5" s="15"/>
      <c r="G5" s="15"/>
      <c r="H5" s="14" t="s">
        <v>53</v>
      </c>
      <c r="K5" s="15"/>
      <c r="L5" s="15"/>
      <c r="M5" s="14" t="s">
        <v>54</v>
      </c>
    </row>
    <row r="6" spans="1:14" ht="3" customHeight="1" x14ac:dyDescent="0.25">
      <c r="B6" s="26"/>
      <c r="C6" s="26"/>
    </row>
    <row r="7" spans="1:14" x14ac:dyDescent="0.25">
      <c r="A7" s="16" t="s">
        <v>0</v>
      </c>
      <c r="B7" s="48" t="s">
        <v>323</v>
      </c>
      <c r="C7" s="48" t="s">
        <v>322</v>
      </c>
      <c r="D7" s="229">
        <v>1178</v>
      </c>
      <c r="F7" s="16" t="s">
        <v>0</v>
      </c>
      <c r="G7" s="26" t="s">
        <v>308</v>
      </c>
      <c r="H7" s="26" t="s">
        <v>305</v>
      </c>
      <c r="I7" s="229">
        <v>1078</v>
      </c>
      <c r="J7" s="113"/>
      <c r="K7" s="16" t="s">
        <v>0</v>
      </c>
      <c r="L7" t="s">
        <v>244</v>
      </c>
      <c r="M7" s="26" t="s">
        <v>245</v>
      </c>
      <c r="N7" s="229">
        <v>1090</v>
      </c>
    </row>
    <row r="8" spans="1:14" x14ac:dyDescent="0.25">
      <c r="B8" s="48" t="s">
        <v>324</v>
      </c>
      <c r="C8" s="48" t="s">
        <v>322</v>
      </c>
      <c r="D8" s="229"/>
      <c r="F8" s="16"/>
      <c r="G8" s="26" t="s">
        <v>309</v>
      </c>
      <c r="H8" s="26" t="s">
        <v>305</v>
      </c>
      <c r="I8" s="229"/>
      <c r="J8" s="113"/>
      <c r="K8" s="16"/>
      <c r="L8" t="s">
        <v>201</v>
      </c>
      <c r="M8" s="26" t="s">
        <v>245</v>
      </c>
      <c r="N8" s="229"/>
    </row>
    <row r="9" spans="1:14" x14ac:dyDescent="0.25">
      <c r="A9" s="16" t="s">
        <v>9</v>
      </c>
      <c r="B9" s="26" t="s">
        <v>173</v>
      </c>
      <c r="C9" s="26" t="s">
        <v>175</v>
      </c>
      <c r="D9" s="229">
        <v>1154</v>
      </c>
      <c r="F9" s="16" t="s">
        <v>9</v>
      </c>
      <c r="G9" s="26" t="s">
        <v>306</v>
      </c>
      <c r="H9" s="26" t="s">
        <v>305</v>
      </c>
      <c r="I9" s="229">
        <v>1076</v>
      </c>
      <c r="K9" s="16" t="s">
        <v>9</v>
      </c>
      <c r="L9" s="80" t="s">
        <v>26</v>
      </c>
      <c r="M9" s="26" t="s">
        <v>245</v>
      </c>
      <c r="N9" s="229">
        <v>1057</v>
      </c>
    </row>
    <row r="10" spans="1:14" x14ac:dyDescent="0.25">
      <c r="B10" s="26" t="s">
        <v>242</v>
      </c>
      <c r="C10" s="26" t="s">
        <v>175</v>
      </c>
      <c r="D10" s="229"/>
      <c r="F10" s="16"/>
      <c r="G10" s="48" t="s">
        <v>307</v>
      </c>
      <c r="H10" s="26" t="s">
        <v>305</v>
      </c>
      <c r="I10" s="229"/>
      <c r="K10" s="16"/>
      <c r="L10" s="80" t="s">
        <v>27</v>
      </c>
      <c r="M10" s="26" t="s">
        <v>245</v>
      </c>
      <c r="N10" s="229"/>
    </row>
    <row r="11" spans="1:14" x14ac:dyDescent="0.25">
      <c r="A11" s="16" t="s">
        <v>10</v>
      </c>
      <c r="B11" s="48" t="s">
        <v>283</v>
      </c>
      <c r="C11" s="48" t="s">
        <v>317</v>
      </c>
      <c r="D11" s="229">
        <v>1145</v>
      </c>
      <c r="F11" s="16" t="s">
        <v>10</v>
      </c>
      <c r="G11" s="48" t="s">
        <v>252</v>
      </c>
      <c r="H11" s="26" t="s">
        <v>319</v>
      </c>
      <c r="I11" s="229">
        <v>1063</v>
      </c>
      <c r="K11" s="16" t="s">
        <v>10</v>
      </c>
      <c r="L11" t="s">
        <v>218</v>
      </c>
      <c r="M11" t="s">
        <v>18</v>
      </c>
      <c r="N11" s="229">
        <v>1009</v>
      </c>
    </row>
    <row r="12" spans="1:14" x14ac:dyDescent="0.25">
      <c r="B12" s="48" t="s">
        <v>321</v>
      </c>
      <c r="C12" s="48" t="s">
        <v>317</v>
      </c>
      <c r="D12" s="229"/>
      <c r="F12" s="16"/>
      <c r="G12" s="48" t="s">
        <v>320</v>
      </c>
      <c r="H12" s="26" t="s">
        <v>319</v>
      </c>
      <c r="I12" s="229"/>
      <c r="K12" s="16"/>
      <c r="L12" t="s">
        <v>97</v>
      </c>
      <c r="M12" t="s">
        <v>18</v>
      </c>
      <c r="N12" s="229"/>
    </row>
    <row r="13" spans="1:14" x14ac:dyDescent="0.25">
      <c r="A13" s="16" t="s">
        <v>11</v>
      </c>
      <c r="B13" s="48" t="s">
        <v>325</v>
      </c>
      <c r="C13" s="48" t="s">
        <v>322</v>
      </c>
      <c r="D13" s="229">
        <v>1136</v>
      </c>
      <c r="F13" s="16" t="s">
        <v>11</v>
      </c>
      <c r="G13" s="48" t="s">
        <v>354</v>
      </c>
      <c r="H13" s="26" t="s">
        <v>265</v>
      </c>
      <c r="I13" s="229">
        <v>1037</v>
      </c>
      <c r="K13" s="16" t="s">
        <v>11</v>
      </c>
      <c r="L13" s="26" t="s">
        <v>194</v>
      </c>
      <c r="M13" s="26" t="s">
        <v>192</v>
      </c>
      <c r="N13" s="229">
        <v>958</v>
      </c>
    </row>
    <row r="14" spans="1:14" x14ac:dyDescent="0.25">
      <c r="B14" s="48" t="s">
        <v>326</v>
      </c>
      <c r="C14" s="48" t="s">
        <v>322</v>
      </c>
      <c r="D14" s="229"/>
      <c r="F14" s="16"/>
      <c r="G14" s="48" t="s">
        <v>117</v>
      </c>
      <c r="H14" s="26" t="s">
        <v>265</v>
      </c>
      <c r="I14" s="229"/>
      <c r="K14" s="16"/>
      <c r="L14" s="26" t="s">
        <v>196</v>
      </c>
      <c r="M14" s="26" t="s">
        <v>192</v>
      </c>
      <c r="N14" s="229"/>
    </row>
    <row r="15" spans="1:14" x14ac:dyDescent="0.25">
      <c r="A15" s="16" t="s">
        <v>12</v>
      </c>
      <c r="B15" s="26" t="s">
        <v>81</v>
      </c>
      <c r="C15" s="26" t="s">
        <v>142</v>
      </c>
      <c r="D15" s="229">
        <v>1135</v>
      </c>
      <c r="F15" s="16" t="s">
        <v>12</v>
      </c>
      <c r="G15" s="80" t="s">
        <v>20</v>
      </c>
      <c r="H15" t="s">
        <v>18</v>
      </c>
      <c r="I15" s="229">
        <v>1035</v>
      </c>
      <c r="K15" s="16" t="s">
        <v>12</v>
      </c>
      <c r="L15" s="26" t="s">
        <v>64</v>
      </c>
      <c r="M15" s="26" t="s">
        <v>63</v>
      </c>
      <c r="N15" s="229">
        <v>909</v>
      </c>
    </row>
    <row r="16" spans="1:14" x14ac:dyDescent="0.25">
      <c r="B16" s="48" t="s">
        <v>172</v>
      </c>
      <c r="C16" s="26" t="s">
        <v>142</v>
      </c>
      <c r="D16" s="229"/>
      <c r="F16" s="16"/>
      <c r="G16" t="s">
        <v>23</v>
      </c>
      <c r="H16" t="s">
        <v>18</v>
      </c>
      <c r="I16" s="229"/>
      <c r="K16" s="16"/>
      <c r="L16" s="48" t="s">
        <v>247</v>
      </c>
      <c r="M16" s="26" t="s">
        <v>63</v>
      </c>
      <c r="N16" s="229"/>
    </row>
    <row r="17" spans="1:14" x14ac:dyDescent="0.25">
      <c r="A17" s="16" t="s">
        <v>13</v>
      </c>
      <c r="B17" s="48" t="s">
        <v>82</v>
      </c>
      <c r="C17" s="48" t="s">
        <v>142</v>
      </c>
      <c r="D17" s="229">
        <v>1131</v>
      </c>
      <c r="E17" s="231"/>
      <c r="F17" s="16" t="s">
        <v>13</v>
      </c>
      <c r="G17" s="26" t="s">
        <v>342</v>
      </c>
      <c r="H17" s="26" t="s">
        <v>341</v>
      </c>
      <c r="I17" s="229">
        <v>1028</v>
      </c>
      <c r="K17" s="16" t="s">
        <v>13</v>
      </c>
      <c r="L17" s="26" t="s">
        <v>310</v>
      </c>
      <c r="M17" s="26" t="s">
        <v>305</v>
      </c>
      <c r="N17" s="229">
        <v>903</v>
      </c>
    </row>
    <row r="18" spans="1:14" x14ac:dyDescent="0.25">
      <c r="B18" s="48" t="s">
        <v>216</v>
      </c>
      <c r="C18" s="48" t="s">
        <v>142</v>
      </c>
      <c r="D18" s="229"/>
      <c r="E18" s="231"/>
      <c r="F18" s="16"/>
      <c r="G18" s="48" t="s">
        <v>343</v>
      </c>
      <c r="H18" s="48" t="s">
        <v>341</v>
      </c>
      <c r="I18" s="229"/>
      <c r="K18" s="16"/>
      <c r="L18" s="26" t="s">
        <v>311</v>
      </c>
      <c r="M18" s="26" t="s">
        <v>305</v>
      </c>
      <c r="N18" s="229"/>
    </row>
    <row r="19" spans="1:14" x14ac:dyDescent="0.25">
      <c r="A19" s="16" t="s">
        <v>39</v>
      </c>
      <c r="B19" s="26" t="s">
        <v>30</v>
      </c>
      <c r="C19" s="26" t="s">
        <v>128</v>
      </c>
      <c r="D19" s="229">
        <v>1108</v>
      </c>
      <c r="F19" s="16" t="s">
        <v>39</v>
      </c>
      <c r="G19" s="48" t="s">
        <v>344</v>
      </c>
      <c r="H19" s="48" t="s">
        <v>341</v>
      </c>
      <c r="I19" s="229">
        <v>1017</v>
      </c>
      <c r="J19" s="113"/>
      <c r="K19" s="16" t="s">
        <v>39</v>
      </c>
      <c r="L19" s="26" t="s">
        <v>193</v>
      </c>
      <c r="M19" s="26" t="s">
        <v>192</v>
      </c>
      <c r="N19" s="229">
        <v>896</v>
      </c>
    </row>
    <row r="20" spans="1:14" x14ac:dyDescent="0.25">
      <c r="B20" s="26" t="s">
        <v>83</v>
      </c>
      <c r="C20" s="26" t="s">
        <v>128</v>
      </c>
      <c r="D20" s="229"/>
      <c r="F20" s="16"/>
      <c r="G20" s="26" t="s">
        <v>345</v>
      </c>
      <c r="H20" s="26" t="s">
        <v>341</v>
      </c>
      <c r="I20" s="229"/>
      <c r="J20" s="113"/>
      <c r="K20" s="16"/>
      <c r="L20" s="48" t="s">
        <v>291</v>
      </c>
      <c r="M20" s="26" t="s">
        <v>192</v>
      </c>
      <c r="N20" s="229"/>
    </row>
    <row r="21" spans="1:14" x14ac:dyDescent="0.25">
      <c r="A21" s="16" t="s">
        <v>40</v>
      </c>
      <c r="B21" s="26" t="s">
        <v>22</v>
      </c>
      <c r="C21" s="26" t="s">
        <v>127</v>
      </c>
      <c r="D21" s="229">
        <v>1100</v>
      </c>
      <c r="F21" s="16" t="s">
        <v>40</v>
      </c>
      <c r="G21" t="s">
        <v>115</v>
      </c>
      <c r="H21" t="s">
        <v>168</v>
      </c>
      <c r="I21" s="229">
        <v>1006</v>
      </c>
      <c r="K21" s="16" t="s">
        <v>40</v>
      </c>
      <c r="L21" s="26" t="s">
        <v>295</v>
      </c>
      <c r="M21" s="26" t="s">
        <v>18</v>
      </c>
      <c r="N21" s="229">
        <v>881</v>
      </c>
    </row>
    <row r="22" spans="1:14" x14ac:dyDescent="0.25">
      <c r="B22" s="26" t="s">
        <v>176</v>
      </c>
      <c r="C22" s="26" t="s">
        <v>127</v>
      </c>
      <c r="D22" s="229"/>
      <c r="F22" s="16"/>
      <c r="G22" t="s">
        <v>234</v>
      </c>
      <c r="H22" t="s">
        <v>168</v>
      </c>
      <c r="I22" s="229"/>
      <c r="L22" s="26" t="s">
        <v>96</v>
      </c>
      <c r="M22" s="26" t="s">
        <v>18</v>
      </c>
      <c r="N22" s="229"/>
    </row>
    <row r="23" spans="1:14" x14ac:dyDescent="0.25">
      <c r="A23" s="16" t="s">
        <v>41</v>
      </c>
      <c r="B23" s="26" t="s">
        <v>32</v>
      </c>
      <c r="C23" s="26" t="s">
        <v>129</v>
      </c>
      <c r="D23" s="229">
        <v>1099</v>
      </c>
      <c r="E23" s="50">
        <v>373</v>
      </c>
      <c r="F23" s="16" t="s">
        <v>41</v>
      </c>
      <c r="G23" s="26" t="s">
        <v>316</v>
      </c>
      <c r="H23" s="26" t="s">
        <v>161</v>
      </c>
      <c r="I23" s="229">
        <v>1001</v>
      </c>
      <c r="K23" s="16"/>
      <c r="L23" s="48"/>
      <c r="M23" s="26"/>
    </row>
    <row r="24" spans="1:14" x14ac:dyDescent="0.25">
      <c r="B24" s="26" t="s">
        <v>204</v>
      </c>
      <c r="C24" s="26" t="s">
        <v>129</v>
      </c>
      <c r="D24" s="229"/>
      <c r="E24"/>
      <c r="F24" s="16"/>
      <c r="G24" s="48" t="s">
        <v>160</v>
      </c>
      <c r="H24" s="26" t="s">
        <v>161</v>
      </c>
      <c r="I24" s="229"/>
    </row>
    <row r="25" spans="1:14" x14ac:dyDescent="0.25">
      <c r="A25" s="16" t="s">
        <v>42</v>
      </c>
      <c r="B25" s="48" t="s">
        <v>314</v>
      </c>
      <c r="C25" s="48" t="s">
        <v>179</v>
      </c>
      <c r="D25" s="229">
        <v>1099</v>
      </c>
      <c r="E25" s="50">
        <v>339</v>
      </c>
      <c r="F25" s="16" t="s">
        <v>42</v>
      </c>
      <c r="G25" t="s">
        <v>136</v>
      </c>
      <c r="H25" t="s">
        <v>131</v>
      </c>
      <c r="I25" s="229">
        <v>1000</v>
      </c>
      <c r="K25" s="14"/>
    </row>
    <row r="26" spans="1:14" x14ac:dyDescent="0.25">
      <c r="B26" s="26" t="s">
        <v>315</v>
      </c>
      <c r="C26" s="48" t="s">
        <v>179</v>
      </c>
      <c r="D26" s="229"/>
      <c r="F26" s="16"/>
      <c r="G26" t="s">
        <v>137</v>
      </c>
      <c r="H26" t="s">
        <v>131</v>
      </c>
      <c r="I26" s="229"/>
    </row>
    <row r="27" spans="1:14" x14ac:dyDescent="0.25">
      <c r="A27" s="16" t="s">
        <v>43</v>
      </c>
      <c r="B27" s="26" t="s">
        <v>35</v>
      </c>
      <c r="C27" s="59" t="s">
        <v>101</v>
      </c>
      <c r="D27" s="229">
        <v>1097</v>
      </c>
      <c r="F27" s="16" t="s">
        <v>43</v>
      </c>
      <c r="G27" t="s">
        <v>135</v>
      </c>
      <c r="H27" t="s">
        <v>131</v>
      </c>
      <c r="I27" s="229">
        <v>995</v>
      </c>
    </row>
    <row r="28" spans="1:14" x14ac:dyDescent="0.25">
      <c r="B28" s="26" t="s">
        <v>34</v>
      </c>
      <c r="C28" s="59" t="s">
        <v>101</v>
      </c>
      <c r="D28" s="229"/>
      <c r="F28" s="16"/>
      <c r="G28" t="s">
        <v>132</v>
      </c>
      <c r="H28" t="s">
        <v>131</v>
      </c>
      <c r="I28" s="229"/>
    </row>
    <row r="29" spans="1:14" x14ac:dyDescent="0.25">
      <c r="A29" s="16" t="s">
        <v>44</v>
      </c>
      <c r="B29" s="48" t="s">
        <v>217</v>
      </c>
      <c r="C29" s="26" t="s">
        <v>143</v>
      </c>
      <c r="D29" s="229">
        <v>1096</v>
      </c>
      <c r="F29" s="16" t="s">
        <v>44</v>
      </c>
      <c r="G29" s="26" t="s">
        <v>130</v>
      </c>
      <c r="H29" t="s">
        <v>133</v>
      </c>
      <c r="I29" s="229">
        <v>990</v>
      </c>
    </row>
    <row r="30" spans="1:14" x14ac:dyDescent="0.25">
      <c r="B30" s="26" t="s">
        <v>80</v>
      </c>
      <c r="C30" s="26" t="s">
        <v>143</v>
      </c>
      <c r="D30" s="229"/>
      <c r="F30" s="16"/>
      <c r="G30" t="s">
        <v>154</v>
      </c>
      <c r="H30" t="s">
        <v>133</v>
      </c>
      <c r="I30" s="229"/>
    </row>
    <row r="31" spans="1:14" x14ac:dyDescent="0.25">
      <c r="A31" s="16" t="s">
        <v>45</v>
      </c>
      <c r="B31" s="26" t="s">
        <v>78</v>
      </c>
      <c r="C31" s="26" t="s">
        <v>129</v>
      </c>
      <c r="D31" s="229">
        <v>1092</v>
      </c>
      <c r="F31" s="16" t="s">
        <v>45</v>
      </c>
      <c r="G31" s="48" t="s">
        <v>250</v>
      </c>
      <c r="H31" s="26" t="s">
        <v>319</v>
      </c>
      <c r="I31" s="229">
        <v>960</v>
      </c>
    </row>
    <row r="32" spans="1:14" x14ac:dyDescent="0.25">
      <c r="B32" s="26" t="s">
        <v>79</v>
      </c>
      <c r="C32" s="26" t="s">
        <v>129</v>
      </c>
      <c r="D32" s="229"/>
      <c r="F32" s="16"/>
      <c r="G32" s="48" t="s">
        <v>251</v>
      </c>
      <c r="H32" s="26" t="s">
        <v>319</v>
      </c>
      <c r="I32" s="229"/>
    </row>
    <row r="33" spans="1:10" x14ac:dyDescent="0.25">
      <c r="A33" s="16" t="s">
        <v>46</v>
      </c>
      <c r="B33" s="48" t="s">
        <v>286</v>
      </c>
      <c r="C33" s="48" t="s">
        <v>317</v>
      </c>
      <c r="D33" s="229">
        <v>1086</v>
      </c>
      <c r="F33" s="16" t="s">
        <v>46</v>
      </c>
      <c r="G33" s="26" t="s">
        <v>24</v>
      </c>
      <c r="H33" s="26" t="s">
        <v>168</v>
      </c>
      <c r="I33" s="229">
        <v>950</v>
      </c>
      <c r="J33" s="116">
        <v>278</v>
      </c>
    </row>
    <row r="34" spans="1:10" x14ac:dyDescent="0.25">
      <c r="B34" s="26" t="s">
        <v>285</v>
      </c>
      <c r="C34" s="48" t="s">
        <v>317</v>
      </c>
      <c r="D34" s="229"/>
      <c r="F34" s="16"/>
      <c r="G34" s="26" t="s">
        <v>25</v>
      </c>
      <c r="H34" s="26" t="s">
        <v>168</v>
      </c>
      <c r="I34" s="229"/>
    </row>
    <row r="35" spans="1:10" x14ac:dyDescent="0.25">
      <c r="A35" s="16" t="s">
        <v>47</v>
      </c>
      <c r="B35" s="26" t="s">
        <v>56</v>
      </c>
      <c r="C35" s="26" t="s">
        <v>128</v>
      </c>
      <c r="D35" s="229">
        <v>1080</v>
      </c>
      <c r="E35" s="50">
        <v>394</v>
      </c>
      <c r="F35" s="16" t="s">
        <v>47</v>
      </c>
      <c r="G35" s="26" t="s">
        <v>162</v>
      </c>
      <c r="H35" s="26" t="s">
        <v>161</v>
      </c>
      <c r="I35" s="229">
        <v>950</v>
      </c>
      <c r="J35" s="116">
        <v>275</v>
      </c>
    </row>
    <row r="36" spans="1:10" x14ac:dyDescent="0.25">
      <c r="B36" s="26" t="s">
        <v>36</v>
      </c>
      <c r="C36" s="26" t="s">
        <v>128</v>
      </c>
      <c r="D36" s="229"/>
      <c r="E36"/>
      <c r="F36" s="16"/>
      <c r="G36" s="26" t="s">
        <v>163</v>
      </c>
      <c r="H36" s="26" t="s">
        <v>161</v>
      </c>
      <c r="I36" s="229"/>
    </row>
    <row r="37" spans="1:10" x14ac:dyDescent="0.25">
      <c r="A37" s="16" t="s">
        <v>48</v>
      </c>
      <c r="B37" t="s">
        <v>16</v>
      </c>
      <c r="C37" t="s">
        <v>100</v>
      </c>
      <c r="D37" s="229">
        <v>1080</v>
      </c>
      <c r="E37" s="50">
        <v>372</v>
      </c>
      <c r="F37" s="16" t="s">
        <v>48</v>
      </c>
      <c r="G37" t="s">
        <v>21</v>
      </c>
      <c r="H37" t="s">
        <v>18</v>
      </c>
      <c r="I37" s="229">
        <v>948</v>
      </c>
    </row>
    <row r="38" spans="1:10" x14ac:dyDescent="0.25">
      <c r="B38" s="26" t="s">
        <v>99</v>
      </c>
      <c r="C38" s="26" t="s">
        <v>100</v>
      </c>
      <c r="D38" s="229"/>
      <c r="F38" s="16"/>
      <c r="G38" t="s">
        <v>17</v>
      </c>
      <c r="H38" t="s">
        <v>18</v>
      </c>
      <c r="I38" s="229"/>
    </row>
    <row r="39" spans="1:10" x14ac:dyDescent="0.25">
      <c r="A39" s="16" t="s">
        <v>49</v>
      </c>
      <c r="B39" s="26" t="s">
        <v>174</v>
      </c>
      <c r="C39" s="26" t="s">
        <v>175</v>
      </c>
      <c r="D39" s="229">
        <v>1076</v>
      </c>
      <c r="E39" s="50">
        <v>338</v>
      </c>
      <c r="F39" s="16" t="s">
        <v>49</v>
      </c>
      <c r="G39" s="48" t="s">
        <v>237</v>
      </c>
      <c r="H39" s="26" t="s">
        <v>207</v>
      </c>
      <c r="I39" s="229">
        <v>923</v>
      </c>
    </row>
    <row r="40" spans="1:10" x14ac:dyDescent="0.25">
      <c r="B40" s="26" t="s">
        <v>155</v>
      </c>
      <c r="C40" s="26" t="s">
        <v>175</v>
      </c>
      <c r="D40" s="229"/>
      <c r="F40" s="16"/>
      <c r="G40" s="48" t="s">
        <v>208</v>
      </c>
      <c r="H40" s="26" t="s">
        <v>207</v>
      </c>
      <c r="I40" s="229"/>
    </row>
    <row r="41" spans="1:10" x14ac:dyDescent="0.25">
      <c r="A41" s="16" t="s">
        <v>50</v>
      </c>
      <c r="B41" s="48" t="s">
        <v>88</v>
      </c>
      <c r="C41" s="48" t="s">
        <v>294</v>
      </c>
      <c r="D41" s="229">
        <v>1073</v>
      </c>
      <c r="E41" s="50">
        <v>378</v>
      </c>
      <c r="F41" s="16" t="s">
        <v>50</v>
      </c>
      <c r="G41" s="26" t="s">
        <v>65</v>
      </c>
      <c r="H41" s="26" t="s">
        <v>63</v>
      </c>
      <c r="I41" s="229">
        <v>915</v>
      </c>
    </row>
    <row r="42" spans="1:10" x14ac:dyDescent="0.25">
      <c r="B42" s="48" t="s">
        <v>87</v>
      </c>
      <c r="C42" s="48" t="s">
        <v>294</v>
      </c>
      <c r="D42" s="229"/>
      <c r="F42" s="16"/>
      <c r="G42" s="26" t="s">
        <v>178</v>
      </c>
      <c r="H42" s="26" t="s">
        <v>63</v>
      </c>
      <c r="I42" s="229"/>
    </row>
    <row r="43" spans="1:10" x14ac:dyDescent="0.25">
      <c r="A43" s="16" t="s">
        <v>51</v>
      </c>
      <c r="B43" s="48" t="s">
        <v>300</v>
      </c>
      <c r="C43" s="48" t="s">
        <v>299</v>
      </c>
      <c r="D43" s="236">
        <v>1070</v>
      </c>
      <c r="E43" s="50">
        <v>359</v>
      </c>
      <c r="F43" s="16" t="s">
        <v>51</v>
      </c>
      <c r="G43" s="26" t="s">
        <v>206</v>
      </c>
      <c r="H43" s="26" t="s">
        <v>207</v>
      </c>
      <c r="I43" s="229">
        <v>847</v>
      </c>
    </row>
    <row r="44" spans="1:10" x14ac:dyDescent="0.25">
      <c r="B44" s="48" t="s">
        <v>301</v>
      </c>
      <c r="C44" s="48" t="s">
        <v>299</v>
      </c>
      <c r="D44" s="236"/>
      <c r="F44" s="16"/>
      <c r="G44" s="26" t="s">
        <v>209</v>
      </c>
      <c r="H44" s="26" t="s">
        <v>207</v>
      </c>
      <c r="I44" s="229"/>
    </row>
    <row r="45" spans="1:10" x14ac:dyDescent="0.25">
      <c r="A45" s="16" t="s">
        <v>52</v>
      </c>
      <c r="B45" s="48" t="s">
        <v>180</v>
      </c>
      <c r="C45" s="48" t="s">
        <v>179</v>
      </c>
      <c r="D45" s="229">
        <v>1065</v>
      </c>
      <c r="F45" s="16" t="s">
        <v>52</v>
      </c>
      <c r="G45" t="s">
        <v>164</v>
      </c>
      <c r="H45" t="s">
        <v>133</v>
      </c>
      <c r="I45" s="229">
        <v>737</v>
      </c>
    </row>
    <row r="46" spans="1:10" x14ac:dyDescent="0.25">
      <c r="B46" s="48" t="s">
        <v>313</v>
      </c>
      <c r="C46" s="48" t="s">
        <v>179</v>
      </c>
      <c r="D46" s="229"/>
      <c r="F46" s="16"/>
      <c r="G46" s="26" t="s">
        <v>134</v>
      </c>
      <c r="H46" t="s">
        <v>133</v>
      </c>
      <c r="I46" s="229"/>
    </row>
    <row r="47" spans="1:10" x14ac:dyDescent="0.25">
      <c r="A47" s="16" t="s">
        <v>66</v>
      </c>
      <c r="B47" t="s">
        <v>280</v>
      </c>
      <c r="C47" s="48" t="s">
        <v>317</v>
      </c>
      <c r="D47" s="229">
        <v>1056</v>
      </c>
      <c r="F47" s="16" t="s">
        <v>66</v>
      </c>
    </row>
    <row r="48" spans="1:10" x14ac:dyDescent="0.25">
      <c r="B48" s="26" t="s">
        <v>281</v>
      </c>
      <c r="C48" s="26" t="s">
        <v>317</v>
      </c>
      <c r="D48" s="229"/>
    </row>
    <row r="49" spans="1:5" x14ac:dyDescent="0.25">
      <c r="A49" s="16" t="s">
        <v>67</v>
      </c>
      <c r="B49" s="48" t="s">
        <v>346</v>
      </c>
      <c r="C49" s="48" t="s">
        <v>294</v>
      </c>
      <c r="D49" s="229">
        <v>1046</v>
      </c>
    </row>
    <row r="50" spans="1:5" x14ac:dyDescent="0.25">
      <c r="B50" s="48" t="s">
        <v>232</v>
      </c>
      <c r="C50" s="48" t="s">
        <v>294</v>
      </c>
      <c r="D50" s="229"/>
    </row>
    <row r="51" spans="1:5" x14ac:dyDescent="0.25">
      <c r="A51" s="16" t="s">
        <v>68</v>
      </c>
      <c r="B51" s="26" t="s">
        <v>33</v>
      </c>
      <c r="C51" s="59" t="s">
        <v>101</v>
      </c>
      <c r="D51" s="229">
        <v>1038</v>
      </c>
      <c r="E51" s="50">
        <v>342</v>
      </c>
    </row>
    <row r="52" spans="1:5" x14ac:dyDescent="0.25">
      <c r="B52" s="26" t="s">
        <v>31</v>
      </c>
      <c r="C52" s="59" t="s">
        <v>101</v>
      </c>
      <c r="D52" s="229"/>
    </row>
    <row r="53" spans="1:5" x14ac:dyDescent="0.25">
      <c r="A53" s="16" t="s">
        <v>69</v>
      </c>
      <c r="B53" s="48" t="s">
        <v>328</v>
      </c>
      <c r="C53" s="48" t="s">
        <v>327</v>
      </c>
      <c r="D53" s="229">
        <v>1038</v>
      </c>
      <c r="E53" s="50">
        <v>297</v>
      </c>
    </row>
    <row r="54" spans="1:5" x14ac:dyDescent="0.25">
      <c r="B54" s="48" t="s">
        <v>329</v>
      </c>
      <c r="C54" s="48" t="s">
        <v>327</v>
      </c>
      <c r="D54" s="229"/>
    </row>
    <row r="55" spans="1:5" x14ac:dyDescent="0.25">
      <c r="A55" s="16" t="s">
        <v>70</v>
      </c>
      <c r="B55" s="26" t="s">
        <v>183</v>
      </c>
      <c r="C55" s="26" t="s">
        <v>142</v>
      </c>
      <c r="D55" s="229">
        <v>1035</v>
      </c>
    </row>
    <row r="56" spans="1:5" x14ac:dyDescent="0.25">
      <c r="B56" s="48" t="s">
        <v>332</v>
      </c>
      <c r="C56" s="26" t="s">
        <v>142</v>
      </c>
      <c r="D56" s="229"/>
    </row>
    <row r="57" spans="1:5" x14ac:dyDescent="0.25">
      <c r="A57" s="16" t="s">
        <v>71</v>
      </c>
      <c r="B57" s="48" t="s">
        <v>330</v>
      </c>
      <c r="C57" s="48" t="s">
        <v>327</v>
      </c>
      <c r="D57" s="229">
        <v>996</v>
      </c>
      <c r="E57" s="50">
        <v>301</v>
      </c>
    </row>
    <row r="58" spans="1:5" x14ac:dyDescent="0.25">
      <c r="B58" s="48" t="s">
        <v>331</v>
      </c>
      <c r="C58" s="48" t="s">
        <v>327</v>
      </c>
      <c r="D58" s="229"/>
    </row>
    <row r="59" spans="1:5" x14ac:dyDescent="0.25">
      <c r="A59" s="16" t="s">
        <v>72</v>
      </c>
      <c r="B59" s="48" t="s">
        <v>121</v>
      </c>
      <c r="C59" s="48" t="s">
        <v>120</v>
      </c>
      <c r="D59" s="229">
        <v>996</v>
      </c>
      <c r="E59" s="50">
        <v>292</v>
      </c>
    </row>
    <row r="60" spans="1:5" x14ac:dyDescent="0.25">
      <c r="B60" s="48" t="s">
        <v>119</v>
      </c>
      <c r="C60" s="48" t="s">
        <v>120</v>
      </c>
      <c r="D60" s="229"/>
    </row>
    <row r="61" spans="1:5" x14ac:dyDescent="0.25">
      <c r="A61" s="16" t="s">
        <v>73</v>
      </c>
      <c r="B61" s="26" t="s">
        <v>124</v>
      </c>
      <c r="C61" s="26" t="s">
        <v>127</v>
      </c>
      <c r="D61" s="229">
        <v>909</v>
      </c>
    </row>
    <row r="62" spans="1:5" x14ac:dyDescent="0.25">
      <c r="B62" s="26" t="s">
        <v>34</v>
      </c>
      <c r="C62" s="26" t="s">
        <v>127</v>
      </c>
      <c r="D62" s="229"/>
    </row>
    <row r="63" spans="1:5" x14ac:dyDescent="0.25">
      <c r="A63" s="16" t="s">
        <v>74</v>
      </c>
      <c r="B63" s="48" t="s">
        <v>302</v>
      </c>
      <c r="C63" s="48" t="s">
        <v>299</v>
      </c>
      <c r="D63" s="229">
        <v>870</v>
      </c>
    </row>
    <row r="64" spans="1:5" x14ac:dyDescent="0.25">
      <c r="B64" s="48" t="s">
        <v>303</v>
      </c>
      <c r="C64" s="48" t="s">
        <v>299</v>
      </c>
      <c r="D64" s="229"/>
    </row>
    <row r="65" spans="1:4" x14ac:dyDescent="0.25">
      <c r="A65" s="16" t="s">
        <v>75</v>
      </c>
      <c r="B65" s="48" t="s">
        <v>122</v>
      </c>
      <c r="C65" s="48" t="s">
        <v>120</v>
      </c>
      <c r="D65" s="229">
        <v>617</v>
      </c>
    </row>
    <row r="66" spans="1:4" x14ac:dyDescent="0.25">
      <c r="B66" s="48" t="s">
        <v>123</v>
      </c>
      <c r="C66" s="48" t="s">
        <v>120</v>
      </c>
      <c r="D66" s="229"/>
    </row>
    <row r="71" spans="1:4" x14ac:dyDescent="0.25">
      <c r="B71" s="48"/>
      <c r="C71" s="48"/>
    </row>
    <row r="72" spans="1:4" x14ac:dyDescent="0.25">
      <c r="B72" s="48"/>
      <c r="C72" s="48"/>
    </row>
  </sheetData>
  <mergeCells count="59">
    <mergeCell ref="I9:I10"/>
    <mergeCell ref="N17:N18"/>
    <mergeCell ref="D9:D10"/>
    <mergeCell ref="D7:D8"/>
    <mergeCell ref="I23:I24"/>
    <mergeCell ref="I21:I22"/>
    <mergeCell ref="N11:N12"/>
    <mergeCell ref="D39:D40"/>
    <mergeCell ref="N21:N22"/>
    <mergeCell ref="N13:N14"/>
    <mergeCell ref="I33:I34"/>
    <mergeCell ref="E17:E18"/>
    <mergeCell ref="I15:I16"/>
    <mergeCell ref="N19:N20"/>
    <mergeCell ref="I45:I46"/>
    <mergeCell ref="D25:D26"/>
    <mergeCell ref="I29:I30"/>
    <mergeCell ref="D45:D46"/>
    <mergeCell ref="I27:I28"/>
    <mergeCell ref="I35:I36"/>
    <mergeCell ref="I31:I32"/>
    <mergeCell ref="I43:I44"/>
    <mergeCell ref="D61:D62"/>
    <mergeCell ref="D37:D38"/>
    <mergeCell ref="D21:D22"/>
    <mergeCell ref="D59:D60"/>
    <mergeCell ref="D65:D66"/>
    <mergeCell ref="D23:D24"/>
    <mergeCell ref="D63:D64"/>
    <mergeCell ref="D43:D44"/>
    <mergeCell ref="D55:D56"/>
    <mergeCell ref="D47:D48"/>
    <mergeCell ref="D49:D50"/>
    <mergeCell ref="D53:D54"/>
    <mergeCell ref="D57:D58"/>
    <mergeCell ref="D35:D36"/>
    <mergeCell ref="D51:D52"/>
    <mergeCell ref="I41:I42"/>
    <mergeCell ref="D33:D34"/>
    <mergeCell ref="D41:D42"/>
    <mergeCell ref="I39:I40"/>
    <mergeCell ref="D31:D32"/>
    <mergeCell ref="I37:I38"/>
    <mergeCell ref="N9:N10"/>
    <mergeCell ref="N7:N8"/>
    <mergeCell ref="I7:I8"/>
    <mergeCell ref="D19:D20"/>
    <mergeCell ref="D29:D30"/>
    <mergeCell ref="I17:I18"/>
    <mergeCell ref="I19:I20"/>
    <mergeCell ref="D11:D12"/>
    <mergeCell ref="I11:I12"/>
    <mergeCell ref="D13:D14"/>
    <mergeCell ref="D15:D16"/>
    <mergeCell ref="D27:D28"/>
    <mergeCell ref="I25:I26"/>
    <mergeCell ref="I13:I14"/>
    <mergeCell ref="N15:N16"/>
    <mergeCell ref="D17:D18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58"/>
  <sheetViews>
    <sheetView topLeftCell="A35" zoomScaleNormal="100" workbookViewId="0">
      <selection activeCell="P50" sqref="P50"/>
    </sheetView>
  </sheetViews>
  <sheetFormatPr defaultRowHeight="15" x14ac:dyDescent="0.25"/>
  <cols>
    <col min="1" max="1" width="1.28515625" customWidth="1"/>
    <col min="2" max="2" width="2.85546875" customWidth="1"/>
    <col min="3" max="3" width="20.42578125" customWidth="1"/>
    <col min="4" max="4" width="16.28515625" customWidth="1"/>
    <col min="5" max="5" width="5.140625" style="2" customWidth="1"/>
    <col min="6" max="6" width="5.140625" style="20" customWidth="1"/>
    <col min="7" max="7" width="5.140625" style="16" customWidth="1"/>
    <col min="8" max="8" width="5" style="2" customWidth="1"/>
    <col min="9" max="9" width="7.28515625" style="16" customWidth="1"/>
    <col min="10" max="10" width="5.5703125" style="8" customWidth="1"/>
    <col min="11" max="11" width="5.42578125" style="8" customWidth="1"/>
    <col min="12" max="12" width="5.28515625" style="8" customWidth="1"/>
    <col min="13" max="13" width="5.5703125" style="8" customWidth="1"/>
    <col min="14" max="14" width="5.42578125" style="72" customWidth="1"/>
  </cols>
  <sheetData>
    <row r="1" spans="2:14" ht="3.75" customHeight="1" thickBot="1" x14ac:dyDescent="0.3"/>
    <row r="2" spans="2:14" ht="18.75" x14ac:dyDescent="0.3">
      <c r="B2" s="162"/>
      <c r="C2" s="195" t="s">
        <v>145</v>
      </c>
      <c r="D2" s="139"/>
      <c r="E2" s="140"/>
      <c r="F2" s="141"/>
      <c r="G2" s="142"/>
      <c r="H2" s="140"/>
      <c r="I2" s="142"/>
      <c r="J2" s="143"/>
      <c r="K2" s="143"/>
      <c r="L2" s="143"/>
      <c r="M2" s="143"/>
      <c r="N2" s="144"/>
    </row>
    <row r="3" spans="2:14" x14ac:dyDescent="0.25">
      <c r="B3" s="145"/>
      <c r="C3" s="26"/>
      <c r="D3" s="26"/>
      <c r="E3" s="146" t="s">
        <v>292</v>
      </c>
      <c r="F3" s="147" t="s">
        <v>102</v>
      </c>
      <c r="G3" s="148" t="s">
        <v>103</v>
      </c>
      <c r="H3" s="146" t="s">
        <v>104</v>
      </c>
      <c r="I3" s="149" t="s">
        <v>105</v>
      </c>
      <c r="J3" s="25" t="s">
        <v>156</v>
      </c>
      <c r="K3" s="97" t="s">
        <v>157</v>
      </c>
      <c r="L3" s="56" t="s">
        <v>158</v>
      </c>
      <c r="M3" s="25" t="s">
        <v>159</v>
      </c>
      <c r="N3" s="150"/>
    </row>
    <row r="4" spans="2:14" ht="15.75" x14ac:dyDescent="0.25">
      <c r="B4" s="172" t="s">
        <v>0</v>
      </c>
      <c r="C4" s="73" t="s">
        <v>26</v>
      </c>
      <c r="D4" s="26" t="s">
        <v>19</v>
      </c>
      <c r="E4" s="151"/>
      <c r="F4" s="97"/>
      <c r="G4" s="56"/>
      <c r="H4" s="25"/>
      <c r="I4" s="120"/>
      <c r="J4" s="152"/>
      <c r="K4" s="28"/>
      <c r="L4" s="28"/>
      <c r="M4" s="28"/>
      <c r="N4" s="150"/>
    </row>
    <row r="5" spans="2:14" ht="15.75" x14ac:dyDescent="0.25">
      <c r="B5" s="172"/>
      <c r="C5" s="73" t="s">
        <v>27</v>
      </c>
      <c r="D5" s="26" t="s">
        <v>19</v>
      </c>
      <c r="E5" s="25"/>
      <c r="F5" s="97"/>
      <c r="G5" s="56"/>
      <c r="H5" s="25"/>
      <c r="I5" s="120"/>
      <c r="J5" s="27"/>
      <c r="K5" s="27"/>
      <c r="L5" s="27"/>
      <c r="M5" s="27"/>
      <c r="N5" s="150"/>
    </row>
    <row r="6" spans="2:14" ht="15.75" x14ac:dyDescent="0.25">
      <c r="B6" s="172" t="s">
        <v>9</v>
      </c>
      <c r="C6" s="48" t="s">
        <v>195</v>
      </c>
      <c r="D6" s="26" t="s">
        <v>192</v>
      </c>
      <c r="E6" s="25"/>
      <c r="F6" s="97"/>
      <c r="G6" s="153"/>
      <c r="H6" s="25"/>
      <c r="I6" s="120"/>
      <c r="J6" s="27"/>
      <c r="K6" s="27"/>
      <c r="L6" s="154"/>
      <c r="M6" s="27"/>
      <c r="N6" s="150"/>
    </row>
    <row r="7" spans="2:14" ht="15.75" x14ac:dyDescent="0.25">
      <c r="B7" s="172"/>
      <c r="C7" s="26" t="s">
        <v>196</v>
      </c>
      <c r="D7" s="26" t="s">
        <v>192</v>
      </c>
      <c r="E7" s="25"/>
      <c r="F7" s="97"/>
      <c r="G7" s="56"/>
      <c r="H7" s="25"/>
      <c r="I7" s="120"/>
      <c r="J7" s="27"/>
      <c r="K7" s="27"/>
      <c r="L7" s="27"/>
      <c r="M7" s="27"/>
      <c r="N7" s="150"/>
    </row>
    <row r="8" spans="2:14" ht="15.75" x14ac:dyDescent="0.25">
      <c r="B8" s="172" t="s">
        <v>10</v>
      </c>
      <c r="C8" s="26" t="s">
        <v>64</v>
      </c>
      <c r="D8" s="26" t="s">
        <v>63</v>
      </c>
      <c r="E8" s="25"/>
      <c r="F8" s="97"/>
      <c r="G8" s="56"/>
      <c r="H8" s="25"/>
      <c r="I8" s="120"/>
      <c r="J8" s="27"/>
      <c r="K8" s="27"/>
      <c r="L8" s="27"/>
      <c r="M8" s="27"/>
      <c r="N8" s="150"/>
    </row>
    <row r="9" spans="2:14" ht="15.75" x14ac:dyDescent="0.25">
      <c r="B9" s="172"/>
      <c r="C9" s="48" t="s">
        <v>177</v>
      </c>
      <c r="D9" s="26" t="s">
        <v>63</v>
      </c>
      <c r="E9" s="25"/>
      <c r="F9" s="97"/>
      <c r="G9" s="56"/>
      <c r="H9" s="25"/>
      <c r="I9" s="120"/>
      <c r="J9" s="27"/>
      <c r="K9" s="27"/>
      <c r="L9" s="27"/>
      <c r="M9" s="27"/>
      <c r="N9" s="150"/>
    </row>
    <row r="10" spans="2:14" ht="15.75" x14ac:dyDescent="0.25">
      <c r="B10" s="172" t="s">
        <v>11</v>
      </c>
      <c r="C10" s="26" t="s">
        <v>28</v>
      </c>
      <c r="D10" s="26" t="s">
        <v>19</v>
      </c>
      <c r="E10" s="25"/>
      <c r="F10" s="97"/>
      <c r="G10" s="56"/>
      <c r="H10" s="151"/>
      <c r="I10" s="120"/>
      <c r="J10" s="27"/>
      <c r="K10" s="27"/>
      <c r="L10" s="27"/>
      <c r="M10" s="154"/>
      <c r="N10" s="150"/>
    </row>
    <row r="11" spans="2:14" ht="15.75" x14ac:dyDescent="0.25">
      <c r="B11" s="172"/>
      <c r="C11" s="26" t="s">
        <v>201</v>
      </c>
      <c r="D11" s="26" t="s">
        <v>19</v>
      </c>
      <c r="E11" s="25"/>
      <c r="F11" s="97"/>
      <c r="G11" s="56"/>
      <c r="H11" s="25"/>
      <c r="I11" s="120"/>
      <c r="J11" s="27"/>
      <c r="K11" s="27"/>
      <c r="L11" s="27"/>
      <c r="M11" s="27"/>
      <c r="N11" s="150"/>
    </row>
    <row r="12" spans="2:14" ht="15.75" x14ac:dyDescent="0.25">
      <c r="B12" s="172" t="s">
        <v>12</v>
      </c>
      <c r="C12" s="26" t="s">
        <v>193</v>
      </c>
      <c r="D12" s="26" t="s">
        <v>192</v>
      </c>
      <c r="E12" s="25"/>
      <c r="F12" s="97"/>
      <c r="G12" s="56"/>
      <c r="H12" s="25"/>
      <c r="I12" s="120"/>
      <c r="J12" s="27"/>
      <c r="K12" s="27"/>
      <c r="L12" s="27"/>
      <c r="M12" s="27"/>
      <c r="N12" s="150"/>
    </row>
    <row r="13" spans="2:14" ht="16.5" thickBot="1" x14ac:dyDescent="0.3">
      <c r="B13" s="175"/>
      <c r="C13" s="155" t="s">
        <v>194</v>
      </c>
      <c r="D13" s="155" t="s">
        <v>192</v>
      </c>
      <c r="E13" s="156"/>
      <c r="F13" s="157"/>
      <c r="G13" s="158"/>
      <c r="H13" s="156"/>
      <c r="I13" s="159"/>
      <c r="J13" s="160"/>
      <c r="K13" s="160"/>
      <c r="L13" s="160"/>
      <c r="M13" s="160"/>
      <c r="N13" s="161"/>
    </row>
    <row r="14" spans="2:14" ht="3.75" customHeight="1" thickBot="1" x14ac:dyDescent="0.3">
      <c r="B14" s="16"/>
      <c r="E14"/>
      <c r="I14" s="66"/>
    </row>
    <row r="15" spans="2:14" ht="15.75" x14ac:dyDescent="0.25">
      <c r="B15" s="162"/>
      <c r="C15" s="194" t="s">
        <v>149</v>
      </c>
      <c r="D15" s="139"/>
      <c r="E15" s="140"/>
      <c r="F15" s="141"/>
      <c r="G15" s="142"/>
      <c r="H15" s="140"/>
      <c r="I15" s="142"/>
      <c r="J15" s="143"/>
      <c r="K15" s="143"/>
      <c r="L15" s="143"/>
      <c r="M15" s="143"/>
      <c r="N15" s="144"/>
    </row>
    <row r="16" spans="2:14" x14ac:dyDescent="0.25">
      <c r="B16" s="145"/>
      <c r="C16" s="26"/>
      <c r="D16" s="26"/>
      <c r="E16" s="146" t="s">
        <v>292</v>
      </c>
      <c r="F16" s="147" t="s">
        <v>102</v>
      </c>
      <c r="G16" s="148" t="s">
        <v>103</v>
      </c>
      <c r="H16" s="146" t="s">
        <v>104</v>
      </c>
      <c r="I16" s="149" t="s">
        <v>105</v>
      </c>
      <c r="J16" s="25" t="s">
        <v>156</v>
      </c>
      <c r="K16" s="97" t="s">
        <v>157</v>
      </c>
      <c r="L16" s="56" t="s">
        <v>158</v>
      </c>
      <c r="M16" s="25" t="s">
        <v>159</v>
      </c>
      <c r="N16" s="150"/>
    </row>
    <row r="17" spans="2:14" x14ac:dyDescent="0.25">
      <c r="B17" s="172" t="s">
        <v>0</v>
      </c>
      <c r="C17" s="48" t="s">
        <v>114</v>
      </c>
      <c r="D17" s="48" t="s">
        <v>171</v>
      </c>
      <c r="E17" s="25"/>
      <c r="F17" s="97"/>
      <c r="G17" s="56"/>
      <c r="H17" s="25"/>
      <c r="I17" s="56"/>
      <c r="J17" s="27"/>
      <c r="K17" s="27"/>
      <c r="L17" s="27"/>
      <c r="M17" s="27"/>
      <c r="N17" s="150"/>
    </row>
    <row r="18" spans="2:14" x14ac:dyDescent="0.25">
      <c r="B18" s="172"/>
      <c r="C18" s="48" t="s">
        <v>202</v>
      </c>
      <c r="D18" s="48" t="s">
        <v>171</v>
      </c>
      <c r="E18" s="25"/>
      <c r="F18" s="97"/>
      <c r="G18" s="56"/>
      <c r="H18" s="25"/>
      <c r="I18" s="56"/>
      <c r="J18" s="27"/>
      <c r="K18" s="27"/>
      <c r="L18" s="27"/>
      <c r="M18" s="27"/>
      <c r="N18" s="150"/>
    </row>
    <row r="19" spans="2:14" x14ac:dyDescent="0.25">
      <c r="B19" s="172" t="s">
        <v>9</v>
      </c>
      <c r="C19" s="73" t="s">
        <v>56</v>
      </c>
      <c r="D19" s="26" t="s">
        <v>128</v>
      </c>
      <c r="E19" s="25"/>
      <c r="F19" s="174"/>
      <c r="G19" s="56"/>
      <c r="H19" s="25"/>
      <c r="I19" s="56"/>
      <c r="J19" s="27"/>
      <c r="K19" s="154"/>
      <c r="L19" s="27"/>
      <c r="M19" s="27"/>
      <c r="N19" s="150"/>
    </row>
    <row r="20" spans="2:14" x14ac:dyDescent="0.25">
      <c r="B20" s="172"/>
      <c r="C20" s="73" t="s">
        <v>36</v>
      </c>
      <c r="D20" s="26" t="s">
        <v>128</v>
      </c>
      <c r="E20" s="25"/>
      <c r="F20" s="97"/>
      <c r="G20" s="56"/>
      <c r="H20" s="25"/>
      <c r="I20" s="56"/>
      <c r="J20" s="27"/>
      <c r="K20" s="27"/>
      <c r="L20" s="27"/>
      <c r="M20" s="27"/>
      <c r="N20" s="150"/>
    </row>
    <row r="21" spans="2:14" x14ac:dyDescent="0.25">
      <c r="B21" s="172" t="s">
        <v>10</v>
      </c>
      <c r="C21" s="26" t="s">
        <v>78</v>
      </c>
      <c r="D21" s="26" t="s">
        <v>128</v>
      </c>
      <c r="E21" s="25"/>
      <c r="F21" s="174"/>
      <c r="G21" s="56"/>
      <c r="H21" s="25"/>
      <c r="I21" s="56"/>
      <c r="J21" s="27"/>
      <c r="K21" s="154"/>
      <c r="L21" s="102"/>
      <c r="M21" s="27"/>
      <c r="N21" s="150"/>
    </row>
    <row r="22" spans="2:14" x14ac:dyDescent="0.25">
      <c r="B22" s="172"/>
      <c r="C22" s="26" t="s">
        <v>79</v>
      </c>
      <c r="D22" s="26" t="s">
        <v>128</v>
      </c>
      <c r="E22" s="25"/>
      <c r="F22" s="97"/>
      <c r="G22" s="56"/>
      <c r="H22" s="25"/>
      <c r="I22" s="56"/>
      <c r="J22" s="27"/>
      <c r="K22" s="27"/>
      <c r="L22" s="27"/>
      <c r="M22" s="27"/>
      <c r="N22" s="150"/>
    </row>
    <row r="23" spans="2:14" x14ac:dyDescent="0.25">
      <c r="B23" s="172" t="s">
        <v>11</v>
      </c>
      <c r="C23" s="26" t="s">
        <v>30</v>
      </c>
      <c r="D23" s="26" t="s">
        <v>129</v>
      </c>
      <c r="E23" s="25"/>
      <c r="F23" s="174"/>
      <c r="G23" s="56"/>
      <c r="H23" s="25"/>
      <c r="I23" s="56"/>
      <c r="J23" s="27"/>
      <c r="K23" s="154"/>
      <c r="L23" s="27"/>
      <c r="M23" s="27"/>
      <c r="N23" s="150"/>
    </row>
    <row r="24" spans="2:14" x14ac:dyDescent="0.25">
      <c r="B24" s="172"/>
      <c r="C24" s="26" t="s">
        <v>32</v>
      </c>
      <c r="D24" s="26" t="s">
        <v>129</v>
      </c>
      <c r="E24" s="25"/>
      <c r="F24" s="97"/>
      <c r="G24" s="56"/>
      <c r="H24" s="25"/>
      <c r="I24" s="56"/>
      <c r="J24" s="27"/>
      <c r="K24" s="27"/>
      <c r="L24" s="27"/>
      <c r="M24" s="27"/>
      <c r="N24" s="150"/>
    </row>
    <row r="25" spans="2:14" x14ac:dyDescent="0.25">
      <c r="B25" s="172" t="s">
        <v>12</v>
      </c>
      <c r="C25" s="26" t="s">
        <v>174</v>
      </c>
      <c r="D25" s="26" t="s">
        <v>175</v>
      </c>
      <c r="E25" s="25"/>
      <c r="F25" s="97"/>
      <c r="G25" s="56"/>
      <c r="H25" s="25"/>
      <c r="I25" s="56"/>
      <c r="J25" s="27"/>
      <c r="K25" s="27"/>
      <c r="L25" s="27"/>
      <c r="M25" s="27"/>
      <c r="N25" s="150"/>
    </row>
    <row r="26" spans="2:14" x14ac:dyDescent="0.25">
      <c r="B26" s="172"/>
      <c r="C26" s="26" t="s">
        <v>155</v>
      </c>
      <c r="D26" s="26" t="s">
        <v>175</v>
      </c>
      <c r="E26" s="25"/>
      <c r="F26" s="97"/>
      <c r="G26" s="56"/>
      <c r="H26" s="25"/>
      <c r="I26" s="56"/>
      <c r="J26" s="27"/>
      <c r="K26" s="27"/>
      <c r="L26" s="27"/>
      <c r="M26" s="27"/>
      <c r="N26" s="150"/>
    </row>
    <row r="27" spans="2:14" x14ac:dyDescent="0.25">
      <c r="B27" s="172" t="s">
        <v>13</v>
      </c>
      <c r="C27" s="73" t="s">
        <v>83</v>
      </c>
      <c r="D27" s="26" t="s">
        <v>129</v>
      </c>
      <c r="E27" s="25"/>
      <c r="F27" s="97"/>
      <c r="G27" s="56"/>
      <c r="H27" s="25"/>
      <c r="I27" s="56"/>
      <c r="J27" s="27"/>
      <c r="K27" s="27"/>
      <c r="L27" s="27"/>
      <c r="M27" s="27"/>
      <c r="N27" s="150"/>
    </row>
    <row r="28" spans="2:14" x14ac:dyDescent="0.25">
      <c r="B28" s="172"/>
      <c r="C28" s="73" t="s">
        <v>84</v>
      </c>
      <c r="D28" s="26" t="s">
        <v>129</v>
      </c>
      <c r="E28" s="25"/>
      <c r="F28" s="97"/>
      <c r="G28" s="56"/>
      <c r="H28" s="25"/>
      <c r="I28" s="56"/>
      <c r="J28" s="27"/>
      <c r="K28" s="27"/>
      <c r="L28" s="27"/>
      <c r="M28" s="27"/>
      <c r="N28" s="150"/>
    </row>
    <row r="29" spans="2:14" x14ac:dyDescent="0.25">
      <c r="B29" s="172" t="s">
        <v>39</v>
      </c>
      <c r="C29" s="26" t="s">
        <v>59</v>
      </c>
      <c r="D29" s="26" t="s">
        <v>58</v>
      </c>
      <c r="E29" s="25"/>
      <c r="F29" s="97"/>
      <c r="G29" s="153"/>
      <c r="H29" s="25"/>
      <c r="I29" s="56"/>
      <c r="J29" s="27"/>
      <c r="K29" s="27"/>
      <c r="L29" s="154"/>
      <c r="M29" s="27"/>
      <c r="N29" s="150"/>
    </row>
    <row r="30" spans="2:14" x14ac:dyDescent="0.25">
      <c r="B30" s="172"/>
      <c r="C30" s="26" t="s">
        <v>60</v>
      </c>
      <c r="D30" s="26" t="s">
        <v>85</v>
      </c>
      <c r="E30" s="25"/>
      <c r="F30" s="97"/>
      <c r="G30" s="56"/>
      <c r="H30" s="25"/>
      <c r="I30" s="56"/>
      <c r="J30" s="27"/>
      <c r="K30" s="27"/>
      <c r="L30" s="27"/>
      <c r="M30" s="27"/>
      <c r="N30" s="150"/>
    </row>
    <row r="31" spans="2:14" x14ac:dyDescent="0.25">
      <c r="B31" s="172" t="s">
        <v>40</v>
      </c>
      <c r="C31" s="48" t="s">
        <v>125</v>
      </c>
      <c r="D31" s="26" t="s">
        <v>127</v>
      </c>
      <c r="E31" s="25"/>
      <c r="F31" s="97"/>
      <c r="G31" s="56"/>
      <c r="H31" s="25"/>
      <c r="I31" s="56"/>
      <c r="J31" s="27"/>
      <c r="K31" s="27"/>
      <c r="L31" s="27"/>
      <c r="M31" s="27"/>
      <c r="N31" s="150"/>
    </row>
    <row r="32" spans="2:14" x14ac:dyDescent="0.25">
      <c r="B32" s="172"/>
      <c r="C32" s="48" t="s">
        <v>124</v>
      </c>
      <c r="D32" s="26" t="s">
        <v>127</v>
      </c>
      <c r="E32" s="25"/>
      <c r="F32" s="97"/>
      <c r="G32" s="56"/>
      <c r="H32" s="25"/>
      <c r="I32" s="56"/>
      <c r="J32" s="27"/>
      <c r="K32" s="27"/>
      <c r="L32" s="27"/>
      <c r="M32" s="27"/>
      <c r="N32" s="150"/>
    </row>
    <row r="33" spans="2:14" x14ac:dyDescent="0.25">
      <c r="B33" s="172" t="s">
        <v>41</v>
      </c>
      <c r="C33" s="48" t="s">
        <v>165</v>
      </c>
      <c r="D33" s="48" t="s">
        <v>171</v>
      </c>
      <c r="E33" s="25"/>
      <c r="F33" s="97"/>
      <c r="G33" s="56"/>
      <c r="H33" s="25"/>
      <c r="I33" s="56"/>
      <c r="J33" s="27"/>
      <c r="K33" s="27"/>
      <c r="L33" s="27"/>
      <c r="M33" s="27"/>
      <c r="N33" s="150"/>
    </row>
    <row r="34" spans="2:14" x14ac:dyDescent="0.25">
      <c r="B34" s="172"/>
      <c r="C34" s="48" t="s">
        <v>170</v>
      </c>
      <c r="D34" s="48" t="s">
        <v>171</v>
      </c>
      <c r="E34" s="25"/>
      <c r="F34" s="97"/>
      <c r="G34" s="56"/>
      <c r="H34" s="25"/>
      <c r="I34" s="56"/>
      <c r="J34" s="27"/>
      <c r="K34" s="27"/>
      <c r="L34" s="27"/>
      <c r="M34" s="27"/>
      <c r="N34" s="150"/>
    </row>
    <row r="35" spans="2:14" x14ac:dyDescent="0.25">
      <c r="B35" s="172" t="s">
        <v>42</v>
      </c>
      <c r="C35" s="26" t="s">
        <v>34</v>
      </c>
      <c r="D35" s="26" t="s">
        <v>101</v>
      </c>
      <c r="E35" s="25"/>
      <c r="F35" s="97"/>
      <c r="G35" s="153"/>
      <c r="H35" s="25"/>
      <c r="I35" s="56"/>
      <c r="J35" s="27"/>
      <c r="K35" s="27"/>
      <c r="L35" s="154"/>
      <c r="M35" s="27"/>
      <c r="N35" s="150"/>
    </row>
    <row r="36" spans="2:14" ht="15.75" thickBot="1" x14ac:dyDescent="0.3">
      <c r="B36" s="175"/>
      <c r="C36" s="155" t="s">
        <v>33</v>
      </c>
      <c r="D36" s="155" t="s">
        <v>101</v>
      </c>
      <c r="E36" s="156"/>
      <c r="F36" s="157"/>
      <c r="G36" s="158"/>
      <c r="H36" s="156"/>
      <c r="I36" s="158"/>
      <c r="J36" s="160"/>
      <c r="K36" s="160"/>
      <c r="L36" s="160"/>
      <c r="M36" s="160"/>
      <c r="N36" s="161"/>
    </row>
    <row r="37" spans="2:14" ht="4.5" customHeight="1" x14ac:dyDescent="0.25">
      <c r="B37" s="16"/>
      <c r="C37" s="49"/>
    </row>
    <row r="38" spans="2:14" ht="3.75" customHeight="1" thickBot="1" x14ac:dyDescent="0.3">
      <c r="B38" s="16"/>
    </row>
    <row r="39" spans="2:14" x14ac:dyDescent="0.25">
      <c r="B39" s="162"/>
      <c r="C39" s="178" t="s">
        <v>150</v>
      </c>
      <c r="D39" s="139"/>
      <c r="E39" s="140"/>
      <c r="F39" s="141"/>
      <c r="G39" s="142"/>
      <c r="H39" s="140"/>
      <c r="I39" s="142"/>
      <c r="J39" s="143"/>
      <c r="K39" s="143"/>
      <c r="L39" s="143"/>
      <c r="M39" s="143"/>
      <c r="N39" s="144"/>
    </row>
    <row r="40" spans="2:14" x14ac:dyDescent="0.25">
      <c r="B40" s="145"/>
      <c r="C40" s="26"/>
      <c r="D40" s="26"/>
      <c r="E40" s="146" t="s">
        <v>292</v>
      </c>
      <c r="F40" s="147" t="s">
        <v>102</v>
      </c>
      <c r="G40" s="148" t="s">
        <v>103</v>
      </c>
      <c r="H40" s="146" t="s">
        <v>104</v>
      </c>
      <c r="I40" s="149" t="s">
        <v>105</v>
      </c>
      <c r="J40" s="25" t="s">
        <v>156</v>
      </c>
      <c r="K40" s="97" t="s">
        <v>157</v>
      </c>
      <c r="L40" s="56" t="s">
        <v>158</v>
      </c>
      <c r="M40" s="25" t="s">
        <v>159</v>
      </c>
      <c r="N40" s="150"/>
    </row>
    <row r="41" spans="2:14" x14ac:dyDescent="0.25">
      <c r="B41" s="172" t="s">
        <v>0</v>
      </c>
      <c r="C41" s="26" t="s">
        <v>135</v>
      </c>
      <c r="D41" s="26" t="s">
        <v>131</v>
      </c>
      <c r="E41" s="25"/>
      <c r="F41" s="97"/>
      <c r="G41" s="56"/>
      <c r="H41" s="25"/>
      <c r="I41" s="56"/>
      <c r="J41" s="27"/>
      <c r="K41" s="27"/>
      <c r="L41" s="27"/>
      <c r="M41" s="27"/>
      <c r="N41" s="150"/>
    </row>
    <row r="42" spans="2:14" x14ac:dyDescent="0.25">
      <c r="B42" s="172"/>
      <c r="C42" s="26" t="s">
        <v>132</v>
      </c>
      <c r="D42" s="26" t="s">
        <v>131</v>
      </c>
      <c r="E42" s="25"/>
      <c r="F42" s="97"/>
      <c r="G42" s="56"/>
      <c r="H42" s="25"/>
      <c r="I42" s="56"/>
      <c r="J42" s="27"/>
      <c r="K42" s="27"/>
      <c r="L42" s="27"/>
      <c r="M42" s="27"/>
      <c r="N42" s="150"/>
    </row>
    <row r="43" spans="2:14" x14ac:dyDescent="0.25">
      <c r="B43" s="172" t="s">
        <v>9</v>
      </c>
      <c r="C43" s="26" t="s">
        <v>153</v>
      </c>
      <c r="D43" s="26" t="s">
        <v>161</v>
      </c>
      <c r="E43" s="25"/>
      <c r="F43" s="97"/>
      <c r="G43" s="56"/>
      <c r="H43" s="25"/>
      <c r="I43" s="56"/>
      <c r="J43" s="27"/>
      <c r="K43" s="27"/>
      <c r="L43" s="27"/>
      <c r="M43" s="27"/>
      <c r="N43" s="150"/>
    </row>
    <row r="44" spans="2:14" x14ac:dyDescent="0.25">
      <c r="B44" s="172"/>
      <c r="C44" s="48" t="s">
        <v>160</v>
      </c>
      <c r="D44" s="26" t="s">
        <v>161</v>
      </c>
      <c r="E44" s="25"/>
      <c r="F44" s="97"/>
      <c r="G44" s="56"/>
      <c r="H44" s="25"/>
      <c r="I44" s="56"/>
      <c r="J44" s="27"/>
      <c r="K44" s="27"/>
      <c r="L44" s="27"/>
      <c r="M44" s="27"/>
      <c r="N44" s="150"/>
    </row>
    <row r="45" spans="2:14" x14ac:dyDescent="0.25">
      <c r="B45" s="172" t="s">
        <v>10</v>
      </c>
      <c r="C45" s="59" t="s">
        <v>20</v>
      </c>
      <c r="D45" s="26" t="s">
        <v>18</v>
      </c>
      <c r="E45" s="25"/>
      <c r="F45" s="97"/>
      <c r="G45" s="153"/>
      <c r="H45" s="25"/>
      <c r="I45" s="56"/>
      <c r="J45" s="27"/>
      <c r="K45" s="27"/>
      <c r="L45" s="154"/>
      <c r="M45" s="154"/>
      <c r="N45" s="150"/>
    </row>
    <row r="46" spans="2:14" x14ac:dyDescent="0.25">
      <c r="B46" s="172"/>
      <c r="C46" s="26" t="s">
        <v>23</v>
      </c>
      <c r="D46" s="26" t="s">
        <v>18</v>
      </c>
      <c r="E46" s="25"/>
      <c r="F46" s="97"/>
      <c r="G46" s="56"/>
      <c r="H46" s="25"/>
      <c r="I46" s="56"/>
      <c r="J46" s="27"/>
      <c r="K46" s="27"/>
      <c r="L46" s="27"/>
      <c r="M46" s="27"/>
      <c r="N46" s="150"/>
    </row>
    <row r="47" spans="2:14" x14ac:dyDescent="0.25">
      <c r="B47" s="172" t="s">
        <v>11</v>
      </c>
      <c r="C47" s="26" t="s">
        <v>136</v>
      </c>
      <c r="D47" s="26" t="s">
        <v>131</v>
      </c>
      <c r="E47" s="25"/>
      <c r="F47" s="97"/>
      <c r="G47" s="56"/>
      <c r="H47" s="25"/>
      <c r="I47" s="56"/>
      <c r="J47" s="27"/>
      <c r="K47" s="27"/>
      <c r="L47" s="27"/>
      <c r="M47" s="154"/>
      <c r="N47" s="150"/>
    </row>
    <row r="48" spans="2:14" x14ac:dyDescent="0.25">
      <c r="B48" s="172"/>
      <c r="C48" s="26" t="s">
        <v>137</v>
      </c>
      <c r="D48" s="26" t="s">
        <v>131</v>
      </c>
      <c r="E48" s="25"/>
      <c r="F48" s="97"/>
      <c r="G48" s="56"/>
      <c r="H48" s="25"/>
      <c r="I48" s="56"/>
      <c r="J48" s="27"/>
      <c r="K48" s="27"/>
      <c r="L48" s="27"/>
      <c r="M48" s="27"/>
      <c r="N48" s="150"/>
    </row>
    <row r="49" spans="2:14" x14ac:dyDescent="0.25">
      <c r="B49" s="172" t="s">
        <v>12</v>
      </c>
      <c r="C49" s="26" t="s">
        <v>130</v>
      </c>
      <c r="D49" s="26" t="s">
        <v>133</v>
      </c>
      <c r="E49" s="25"/>
      <c r="F49" s="97"/>
      <c r="G49" s="153"/>
      <c r="H49" s="25"/>
      <c r="I49" s="56"/>
      <c r="J49" s="27"/>
      <c r="K49" s="27"/>
      <c r="L49" s="154"/>
      <c r="M49" s="27"/>
      <c r="N49" s="150"/>
    </row>
    <row r="50" spans="2:14" x14ac:dyDescent="0.25">
      <c r="B50" s="172"/>
      <c r="C50" s="26" t="s">
        <v>154</v>
      </c>
      <c r="D50" s="26" t="s">
        <v>133</v>
      </c>
      <c r="E50" s="25"/>
      <c r="F50" s="97"/>
      <c r="G50" s="56"/>
      <c r="H50" s="25"/>
      <c r="I50" s="56"/>
      <c r="J50" s="27"/>
      <c r="K50" s="27"/>
      <c r="L50" s="27"/>
      <c r="M50" s="27"/>
      <c r="N50" s="150"/>
    </row>
    <row r="51" spans="2:14" x14ac:dyDescent="0.25">
      <c r="B51" s="172" t="s">
        <v>13</v>
      </c>
      <c r="C51" s="26" t="s">
        <v>65</v>
      </c>
      <c r="D51" s="26" t="s">
        <v>63</v>
      </c>
      <c r="E51" s="25"/>
      <c r="F51" s="97"/>
      <c r="G51" s="153"/>
      <c r="H51" s="25"/>
      <c r="I51" s="56"/>
      <c r="J51" s="27"/>
      <c r="K51" s="27"/>
      <c r="L51" s="154"/>
      <c r="M51" s="27"/>
      <c r="N51" s="150"/>
    </row>
    <row r="52" spans="2:14" x14ac:dyDescent="0.25">
      <c r="B52" s="172"/>
      <c r="C52" s="26" t="s">
        <v>178</v>
      </c>
      <c r="D52" s="26" t="s">
        <v>63</v>
      </c>
      <c r="E52" s="25"/>
      <c r="F52" s="97"/>
      <c r="G52" s="56"/>
      <c r="H52" s="25"/>
      <c r="I52" s="56"/>
      <c r="J52" s="27"/>
      <c r="K52" s="27"/>
      <c r="L52" s="27"/>
      <c r="M52" s="27"/>
      <c r="N52" s="150"/>
    </row>
    <row r="53" spans="2:14" x14ac:dyDescent="0.25">
      <c r="B53" s="172" t="s">
        <v>39</v>
      </c>
      <c r="C53" s="26" t="s">
        <v>24</v>
      </c>
      <c r="D53" s="26" t="s">
        <v>168</v>
      </c>
      <c r="E53" s="25"/>
      <c r="F53" s="174"/>
      <c r="G53" s="56"/>
      <c r="H53" s="25"/>
      <c r="I53" s="56"/>
      <c r="J53" s="27"/>
      <c r="K53" s="154"/>
      <c r="L53" s="27"/>
      <c r="M53" s="27"/>
      <c r="N53" s="150"/>
    </row>
    <row r="54" spans="2:14" x14ac:dyDescent="0.25">
      <c r="B54" s="172"/>
      <c r="C54" s="26" t="s">
        <v>25</v>
      </c>
      <c r="D54" s="26" t="s">
        <v>168</v>
      </c>
      <c r="E54" s="25"/>
      <c r="F54" s="97"/>
      <c r="G54" s="56"/>
      <c r="H54" s="25"/>
      <c r="I54" s="56"/>
      <c r="J54" s="27"/>
      <c r="K54" s="27"/>
      <c r="L54" s="27"/>
      <c r="M54" s="27"/>
      <c r="N54" s="150"/>
    </row>
    <row r="55" spans="2:14" x14ac:dyDescent="0.25">
      <c r="B55" s="172" t="s">
        <v>40</v>
      </c>
      <c r="C55" s="26" t="s">
        <v>214</v>
      </c>
      <c r="D55" s="26" t="s">
        <v>211</v>
      </c>
      <c r="E55" s="25"/>
      <c r="F55" s="97"/>
      <c r="G55" s="56"/>
      <c r="H55" s="25"/>
      <c r="I55" s="56"/>
      <c r="J55" s="27"/>
      <c r="K55" s="27"/>
      <c r="L55" s="27"/>
      <c r="M55" s="27"/>
      <c r="N55" s="150"/>
    </row>
    <row r="56" spans="2:14" x14ac:dyDescent="0.25">
      <c r="B56" s="172"/>
      <c r="C56" s="26" t="s">
        <v>215</v>
      </c>
      <c r="D56" s="26" t="s">
        <v>211</v>
      </c>
      <c r="E56" s="25"/>
      <c r="F56" s="97"/>
      <c r="G56" s="56"/>
      <c r="H56" s="25"/>
      <c r="I56" s="56"/>
      <c r="J56" s="27"/>
      <c r="K56" s="27"/>
      <c r="L56" s="27"/>
      <c r="M56" s="27"/>
      <c r="N56" s="150"/>
    </row>
    <row r="57" spans="2:14" x14ac:dyDescent="0.25">
      <c r="B57" s="172" t="s">
        <v>41</v>
      </c>
      <c r="C57" s="26" t="s">
        <v>115</v>
      </c>
      <c r="D57" s="26" t="s">
        <v>168</v>
      </c>
      <c r="E57" s="25"/>
      <c r="F57" s="97"/>
      <c r="G57" s="56"/>
      <c r="H57" s="25"/>
      <c r="I57" s="56"/>
      <c r="J57" s="27"/>
      <c r="K57" s="27"/>
      <c r="L57" s="27"/>
      <c r="M57" s="154"/>
      <c r="N57" s="150"/>
    </row>
    <row r="58" spans="2:14" ht="15.75" thickBot="1" x14ac:dyDescent="0.3">
      <c r="B58" s="175"/>
      <c r="C58" s="155" t="s">
        <v>169</v>
      </c>
      <c r="D58" s="155" t="s">
        <v>168</v>
      </c>
      <c r="E58" s="156"/>
      <c r="F58" s="157"/>
      <c r="G58" s="158"/>
      <c r="H58" s="156"/>
      <c r="I58" s="158"/>
      <c r="J58" s="160"/>
      <c r="K58" s="160"/>
      <c r="L58" s="160"/>
      <c r="M58" s="160"/>
      <c r="N58" s="161"/>
    </row>
  </sheetData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P23"/>
  <sheetViews>
    <sheetView zoomScaleNormal="100" workbookViewId="0">
      <selection activeCell="P13" sqref="P13"/>
    </sheetView>
  </sheetViews>
  <sheetFormatPr defaultRowHeight="15" x14ac:dyDescent="0.25"/>
  <cols>
    <col min="1" max="1" width="1.28515625" customWidth="1"/>
    <col min="2" max="2" width="3.85546875" customWidth="1"/>
    <col min="3" max="3" width="15.7109375" customWidth="1"/>
    <col min="4" max="4" width="5.7109375" style="92" customWidth="1"/>
    <col min="5" max="5" width="5.28515625" style="103" customWidth="1"/>
    <col min="6" max="6" width="5.42578125" style="16" customWidth="1"/>
    <col min="7" max="7" width="4" style="2" customWidth="1"/>
    <col min="8" max="8" width="8.85546875" customWidth="1"/>
    <col min="9" max="9" width="5.140625" style="8" customWidth="1"/>
    <col min="10" max="10" width="5.7109375" style="8" customWidth="1"/>
    <col min="11" max="11" width="6" style="8" customWidth="1"/>
    <col min="12" max="12" width="5.140625" customWidth="1"/>
    <col min="13" max="13" width="5.28515625" customWidth="1"/>
  </cols>
  <sheetData>
    <row r="1" spans="2:16" ht="16.5" thickBot="1" x14ac:dyDescent="0.3">
      <c r="C1" s="69" t="s">
        <v>146</v>
      </c>
    </row>
    <row r="2" spans="2:16" x14ac:dyDescent="0.25">
      <c r="B2" s="162"/>
      <c r="C2" s="139"/>
      <c r="D2" s="198" t="s">
        <v>292</v>
      </c>
      <c r="E2" s="199" t="s">
        <v>102</v>
      </c>
      <c r="F2" s="200" t="s">
        <v>103</v>
      </c>
      <c r="G2" s="201" t="s">
        <v>104</v>
      </c>
      <c r="H2" s="202" t="s">
        <v>105</v>
      </c>
      <c r="I2" s="140" t="s">
        <v>156</v>
      </c>
      <c r="J2" s="141" t="s">
        <v>157</v>
      </c>
      <c r="K2" s="142" t="s">
        <v>158</v>
      </c>
      <c r="L2" s="140" t="s">
        <v>159</v>
      </c>
      <c r="M2" s="166"/>
    </row>
    <row r="3" spans="2:16" x14ac:dyDescent="0.25">
      <c r="B3" s="172" t="s">
        <v>0</v>
      </c>
      <c r="C3" s="26" t="s">
        <v>19</v>
      </c>
      <c r="D3" s="110"/>
      <c r="E3" s="97"/>
      <c r="F3" s="174"/>
      <c r="G3" s="97"/>
      <c r="H3" s="56"/>
      <c r="I3" s="27"/>
      <c r="J3" s="27"/>
      <c r="K3" s="154"/>
      <c r="L3" s="27"/>
      <c r="M3" s="173"/>
    </row>
    <row r="4" spans="2:16" x14ac:dyDescent="0.25">
      <c r="B4" s="172" t="s">
        <v>9</v>
      </c>
      <c r="C4" s="26" t="s">
        <v>192</v>
      </c>
      <c r="D4" s="110"/>
      <c r="E4" s="97"/>
      <c r="F4" s="97"/>
      <c r="G4" s="97"/>
      <c r="H4" s="56"/>
      <c r="I4" s="27"/>
      <c r="J4" s="27"/>
      <c r="K4" s="27"/>
      <c r="L4" s="27"/>
      <c r="M4" s="173"/>
    </row>
    <row r="5" spans="2:16" ht="15.75" thickBot="1" x14ac:dyDescent="0.3">
      <c r="B5" s="175" t="s">
        <v>10</v>
      </c>
      <c r="C5" s="155" t="s">
        <v>18</v>
      </c>
      <c r="D5" s="176"/>
      <c r="E5" s="185"/>
      <c r="F5" s="157"/>
      <c r="G5" s="157"/>
      <c r="H5" s="158"/>
      <c r="I5" s="160"/>
      <c r="J5" s="186"/>
      <c r="K5" s="160"/>
      <c r="L5" s="160"/>
      <c r="M5" s="177"/>
    </row>
    <row r="6" spans="2:16" ht="15.75" thickBot="1" x14ac:dyDescent="0.3">
      <c r="B6" s="16"/>
    </row>
    <row r="7" spans="2:16" ht="15.75" x14ac:dyDescent="0.25">
      <c r="B7" s="162"/>
      <c r="C7" s="163" t="s">
        <v>147</v>
      </c>
      <c r="D7" s="164"/>
      <c r="E7" s="165"/>
      <c r="F7" s="142"/>
      <c r="G7" s="140"/>
      <c r="H7" s="139"/>
      <c r="I7" s="143"/>
      <c r="J7" s="143"/>
      <c r="K7" s="143"/>
      <c r="L7" s="139"/>
      <c r="M7" s="166"/>
    </row>
    <row r="8" spans="2:16" x14ac:dyDescent="0.25">
      <c r="B8" s="145"/>
      <c r="C8" s="26"/>
      <c r="D8" s="167" t="s">
        <v>292</v>
      </c>
      <c r="E8" s="168" t="s">
        <v>102</v>
      </c>
      <c r="F8" s="169" t="s">
        <v>103</v>
      </c>
      <c r="G8" s="170" t="s">
        <v>104</v>
      </c>
      <c r="H8" s="148" t="s">
        <v>105</v>
      </c>
      <c r="I8" s="25" t="s">
        <v>156</v>
      </c>
      <c r="J8" s="97" t="s">
        <v>157</v>
      </c>
      <c r="K8" s="56" t="s">
        <v>158</v>
      </c>
      <c r="L8" s="25" t="s">
        <v>159</v>
      </c>
      <c r="M8" s="171"/>
    </row>
    <row r="9" spans="2:16" x14ac:dyDescent="0.25">
      <c r="B9" s="172" t="s">
        <v>0</v>
      </c>
      <c r="C9" s="26" t="s">
        <v>131</v>
      </c>
      <c r="D9" s="110"/>
      <c r="E9" s="97"/>
      <c r="F9" s="56"/>
      <c r="G9" s="25"/>
      <c r="H9" s="56"/>
      <c r="I9" s="27"/>
      <c r="J9" s="27"/>
      <c r="K9" s="27"/>
      <c r="L9" s="27"/>
      <c r="M9" s="173"/>
    </row>
    <row r="10" spans="2:16" x14ac:dyDescent="0.25">
      <c r="B10" s="172" t="s">
        <v>9</v>
      </c>
      <c r="C10" s="48" t="s">
        <v>161</v>
      </c>
      <c r="D10" s="110"/>
      <c r="E10" s="97"/>
      <c r="F10" s="153"/>
      <c r="G10" s="151"/>
      <c r="H10" s="56"/>
      <c r="I10" s="27"/>
      <c r="J10" s="27"/>
      <c r="K10" s="154"/>
      <c r="L10" s="154"/>
      <c r="M10" s="173"/>
    </row>
    <row r="11" spans="2:16" x14ac:dyDescent="0.25">
      <c r="B11" s="172" t="s">
        <v>10</v>
      </c>
      <c r="C11" s="26" t="s">
        <v>63</v>
      </c>
      <c r="D11" s="110"/>
      <c r="E11" s="97"/>
      <c r="F11" s="56"/>
      <c r="G11" s="25"/>
      <c r="H11" s="56"/>
      <c r="I11" s="27"/>
      <c r="J11" s="27"/>
      <c r="K11" s="27"/>
      <c r="L11" s="27"/>
      <c r="M11" s="173"/>
    </row>
    <row r="12" spans="2:16" ht="15.75" thickBot="1" x14ac:dyDescent="0.3">
      <c r="B12" s="175" t="s">
        <v>11</v>
      </c>
      <c r="C12" s="155" t="s">
        <v>18</v>
      </c>
      <c r="D12" s="176"/>
      <c r="E12" s="185"/>
      <c r="F12" s="158"/>
      <c r="G12" s="156"/>
      <c r="H12" s="158"/>
      <c r="I12" s="160"/>
      <c r="J12" s="186"/>
      <c r="K12" s="160"/>
      <c r="L12" s="160"/>
      <c r="M12" s="177"/>
    </row>
    <row r="13" spans="2:16" ht="15.75" x14ac:dyDescent="0.25">
      <c r="B13" s="16"/>
      <c r="P13" s="54"/>
    </row>
    <row r="14" spans="2:16" ht="16.5" thickBot="1" x14ac:dyDescent="0.3">
      <c r="B14" s="16"/>
      <c r="C14" s="26"/>
      <c r="E14" s="128"/>
      <c r="H14" s="16"/>
      <c r="M14" s="3"/>
      <c r="P14" s="54"/>
    </row>
    <row r="15" spans="2:16" ht="15.75" x14ac:dyDescent="0.25">
      <c r="B15" s="193"/>
      <c r="C15" s="163" t="s">
        <v>148</v>
      </c>
      <c r="D15" s="164"/>
      <c r="E15" s="165"/>
      <c r="F15" s="142"/>
      <c r="G15" s="140"/>
      <c r="H15" s="139"/>
      <c r="I15" s="143"/>
      <c r="J15" s="143"/>
      <c r="K15" s="143"/>
      <c r="L15" s="139"/>
      <c r="M15" s="166"/>
    </row>
    <row r="16" spans="2:16" x14ac:dyDescent="0.25">
      <c r="B16" s="172"/>
      <c r="C16" s="26"/>
      <c r="D16" s="167" t="s">
        <v>292</v>
      </c>
      <c r="E16" s="168" t="s">
        <v>102</v>
      </c>
      <c r="F16" s="169" t="s">
        <v>103</v>
      </c>
      <c r="G16" s="170" t="s">
        <v>104</v>
      </c>
      <c r="H16" s="148" t="s">
        <v>105</v>
      </c>
      <c r="I16" s="25" t="s">
        <v>156</v>
      </c>
      <c r="J16" s="97" t="s">
        <v>157</v>
      </c>
      <c r="K16" s="56" t="s">
        <v>158</v>
      </c>
      <c r="L16" s="25" t="s">
        <v>159</v>
      </c>
      <c r="M16" s="171"/>
    </row>
    <row r="17" spans="2:13" x14ac:dyDescent="0.25">
      <c r="B17" s="172" t="s">
        <v>0</v>
      </c>
      <c r="C17" s="26" t="s">
        <v>128</v>
      </c>
      <c r="D17" s="110"/>
      <c r="E17" s="174"/>
      <c r="F17" s="56"/>
      <c r="G17" s="25"/>
      <c r="H17" s="56"/>
      <c r="I17" s="27"/>
      <c r="J17" s="154"/>
      <c r="K17" s="27"/>
      <c r="L17" s="27"/>
      <c r="M17" s="173"/>
    </row>
    <row r="18" spans="2:13" x14ac:dyDescent="0.25">
      <c r="B18" s="172" t="s">
        <v>9</v>
      </c>
      <c r="C18" s="48" t="s">
        <v>171</v>
      </c>
      <c r="D18" s="110"/>
      <c r="E18" s="97"/>
      <c r="F18" s="56"/>
      <c r="G18" s="25"/>
      <c r="H18" s="56"/>
      <c r="I18" s="27"/>
      <c r="J18" s="27"/>
      <c r="K18" s="27"/>
      <c r="L18" s="27"/>
      <c r="M18" s="173"/>
    </row>
    <row r="19" spans="2:13" ht="15.75" thickBot="1" x14ac:dyDescent="0.3">
      <c r="B19" s="175" t="s">
        <v>10</v>
      </c>
      <c r="C19" s="155" t="s">
        <v>129</v>
      </c>
      <c r="D19" s="176"/>
      <c r="E19" s="185"/>
      <c r="F19" s="158"/>
      <c r="G19" s="156"/>
      <c r="H19" s="158"/>
      <c r="I19" s="160"/>
      <c r="J19" s="186"/>
      <c r="K19" s="160"/>
      <c r="L19" s="160"/>
      <c r="M19" s="177"/>
    </row>
    <row r="20" spans="2:13" x14ac:dyDescent="0.25">
      <c r="B20" s="16"/>
    </row>
    <row r="21" spans="2:13" x14ac:dyDescent="0.25">
      <c r="B21" s="16"/>
      <c r="E21" s="20"/>
      <c r="H21" s="16"/>
      <c r="L21" s="8"/>
      <c r="M21" s="3"/>
    </row>
    <row r="22" spans="2:13" x14ac:dyDescent="0.25">
      <c r="B22" s="16"/>
    </row>
    <row r="23" spans="2:13" x14ac:dyDescent="0.25">
      <c r="B23" s="16"/>
    </row>
  </sheetData>
  <pageMargins left="0.7" right="0.7" top="0.75" bottom="0.75" header="0.3" footer="0.3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P72"/>
  <sheetViews>
    <sheetView topLeftCell="M1" zoomScaleNormal="100" workbookViewId="0">
      <selection activeCell="AG21" sqref="AG21"/>
    </sheetView>
  </sheetViews>
  <sheetFormatPr defaultRowHeight="15.75" x14ac:dyDescent="0.25"/>
  <cols>
    <col min="1" max="1" width="1" customWidth="1"/>
    <col min="2" max="2" width="3.5703125" customWidth="1"/>
    <col min="3" max="3" width="16.28515625" customWidth="1"/>
    <col min="4" max="4" width="15.28515625" customWidth="1"/>
    <col min="5" max="5" width="5.140625" style="2" customWidth="1"/>
    <col min="6" max="6" width="5.85546875" style="20" customWidth="1"/>
    <col min="7" max="7" width="5.42578125" style="16" customWidth="1"/>
    <col min="8" max="8" width="3.85546875" style="2" customWidth="1"/>
    <col min="9" max="9" width="7.85546875" style="66" customWidth="1"/>
    <col min="10" max="10" width="4.140625" customWidth="1"/>
    <col min="11" max="11" width="4.85546875" style="8" customWidth="1"/>
    <col min="12" max="12" width="4.7109375" style="8" customWidth="1"/>
    <col min="13" max="13" width="4.85546875" customWidth="1"/>
    <col min="14" max="14" width="6.42578125" style="7" customWidth="1"/>
    <col min="15" max="15" width="0.5703125" customWidth="1"/>
    <col min="16" max="16" width="3.7109375" customWidth="1"/>
    <col min="17" max="17" width="17.140625" customWidth="1"/>
    <col min="18" max="18" width="15.42578125" customWidth="1"/>
    <col min="19" max="19" width="5.7109375" style="2" customWidth="1"/>
    <col min="20" max="20" width="4.7109375" style="20" customWidth="1"/>
    <col min="21" max="21" width="5.28515625" style="16" customWidth="1"/>
    <col min="22" max="22" width="4.28515625" style="2" customWidth="1"/>
    <col min="23" max="23" width="7.7109375" customWidth="1"/>
    <col min="24" max="24" width="3.85546875" customWidth="1"/>
    <col min="25" max="25" width="4.140625" customWidth="1"/>
    <col min="26" max="26" width="4.5703125" customWidth="1"/>
    <col min="27" max="27" width="4.5703125" style="8" customWidth="1"/>
    <col min="28" max="28" width="5.28515625" style="71" customWidth="1"/>
    <col min="29" max="29" width="0.85546875" customWidth="1"/>
    <col min="30" max="30" width="3" customWidth="1"/>
    <col min="31" max="31" width="20.28515625" customWidth="1"/>
    <col min="32" max="32" width="13.7109375" customWidth="1"/>
    <col min="33" max="33" width="5.42578125" style="2" customWidth="1"/>
    <col min="34" max="34" width="5.140625" style="20" customWidth="1"/>
    <col min="35" max="35" width="5.5703125" style="16" customWidth="1"/>
    <col min="36" max="36" width="4.42578125" style="8" customWidth="1"/>
    <col min="37" max="37" width="8.5703125" customWidth="1"/>
    <col min="38" max="38" width="4.5703125" style="19" customWidth="1"/>
    <col min="39" max="39" width="4" style="8" customWidth="1"/>
    <col min="40" max="40" width="4.28515625" style="8" customWidth="1"/>
    <col min="41" max="41" width="4.42578125" style="8" customWidth="1"/>
    <col min="42" max="42" width="5.5703125" style="71" customWidth="1"/>
  </cols>
  <sheetData>
    <row r="1" spans="2:42" ht="3.75" customHeight="1" thickBot="1" x14ac:dyDescent="0.3"/>
    <row r="2" spans="2:42" x14ac:dyDescent="0.25">
      <c r="B2" s="162"/>
      <c r="C2" s="142" t="s">
        <v>38</v>
      </c>
      <c r="D2" s="139"/>
      <c r="E2" s="140"/>
      <c r="F2" s="141"/>
      <c r="G2" s="142"/>
      <c r="H2" s="140"/>
      <c r="I2" s="188"/>
      <c r="J2" s="139"/>
      <c r="K2" s="143"/>
      <c r="L2" s="143"/>
      <c r="M2" s="139"/>
      <c r="N2" s="189"/>
      <c r="P2" s="162"/>
      <c r="Q2" s="142" t="s">
        <v>53</v>
      </c>
      <c r="R2" s="139"/>
      <c r="S2" s="140"/>
      <c r="T2" s="141"/>
      <c r="U2" s="142"/>
      <c r="V2" s="140"/>
      <c r="W2" s="139"/>
      <c r="X2" s="139"/>
      <c r="Y2" s="139"/>
      <c r="Z2" s="139"/>
      <c r="AA2" s="143"/>
      <c r="AB2" s="179"/>
      <c r="AD2" s="162"/>
      <c r="AE2" s="188" t="s">
        <v>54</v>
      </c>
      <c r="AF2" s="139"/>
      <c r="AG2" s="140"/>
      <c r="AH2" s="141"/>
      <c r="AI2" s="142"/>
      <c r="AJ2" s="143"/>
      <c r="AK2" s="139"/>
      <c r="AL2" s="196"/>
      <c r="AM2" s="143"/>
      <c r="AN2" s="143"/>
      <c r="AO2" s="143"/>
      <c r="AP2" s="179"/>
    </row>
    <row r="3" spans="2:42" ht="15" x14ac:dyDescent="0.25">
      <c r="B3" s="145"/>
      <c r="C3" s="26"/>
      <c r="D3" s="26"/>
      <c r="E3" s="146" t="s">
        <v>292</v>
      </c>
      <c r="F3" s="168" t="s">
        <v>102</v>
      </c>
      <c r="G3" s="169" t="s">
        <v>103</v>
      </c>
      <c r="H3" s="170" t="s">
        <v>104</v>
      </c>
      <c r="I3" s="149" t="s">
        <v>105</v>
      </c>
      <c r="J3" s="25" t="s">
        <v>184</v>
      </c>
      <c r="K3" s="97" t="s">
        <v>157</v>
      </c>
      <c r="L3" s="56" t="s">
        <v>158</v>
      </c>
      <c r="M3" s="25" t="s">
        <v>159</v>
      </c>
      <c r="N3" s="190"/>
      <c r="P3" s="145"/>
      <c r="Q3" s="26"/>
      <c r="R3" s="26"/>
      <c r="S3" s="146" t="s">
        <v>292</v>
      </c>
      <c r="T3" s="168" t="s">
        <v>102</v>
      </c>
      <c r="U3" s="169" t="s">
        <v>103</v>
      </c>
      <c r="V3" s="170" t="s">
        <v>104</v>
      </c>
      <c r="W3" s="149" t="s">
        <v>105</v>
      </c>
      <c r="X3" s="25" t="s">
        <v>184</v>
      </c>
      <c r="Y3" s="97" t="s">
        <v>157</v>
      </c>
      <c r="Z3" s="56" t="s">
        <v>158</v>
      </c>
      <c r="AA3" s="25" t="s">
        <v>159</v>
      </c>
      <c r="AB3" s="180"/>
      <c r="AD3" s="145"/>
      <c r="AE3" s="26"/>
      <c r="AF3" s="26"/>
      <c r="AG3" s="146" t="s">
        <v>292</v>
      </c>
      <c r="AH3" s="168" t="s">
        <v>102</v>
      </c>
      <c r="AI3" s="169" t="s">
        <v>103</v>
      </c>
      <c r="AJ3" s="170" t="s">
        <v>104</v>
      </c>
      <c r="AK3" s="148" t="s">
        <v>105</v>
      </c>
      <c r="AL3" s="25" t="s">
        <v>156</v>
      </c>
      <c r="AM3" s="97" t="s">
        <v>157</v>
      </c>
      <c r="AN3" s="56" t="s">
        <v>158</v>
      </c>
      <c r="AO3" s="25" t="s">
        <v>159</v>
      </c>
      <c r="AP3" s="180"/>
    </row>
    <row r="4" spans="2:42" x14ac:dyDescent="0.25">
      <c r="B4" s="172" t="s">
        <v>0</v>
      </c>
      <c r="C4" s="81" t="s">
        <v>114</v>
      </c>
      <c r="D4" s="81" t="s">
        <v>171</v>
      </c>
      <c r="E4" s="102"/>
      <c r="F4" s="174"/>
      <c r="G4" s="56"/>
      <c r="H4" s="25"/>
      <c r="I4" s="120"/>
      <c r="J4" s="26"/>
      <c r="K4" s="154"/>
      <c r="L4" s="28"/>
      <c r="M4" s="26"/>
      <c r="N4" s="190"/>
      <c r="P4" s="172" t="s">
        <v>0</v>
      </c>
      <c r="Q4" s="48" t="s">
        <v>130</v>
      </c>
      <c r="R4" s="48" t="s">
        <v>133</v>
      </c>
      <c r="S4" s="25"/>
      <c r="T4" s="97"/>
      <c r="U4" s="56"/>
      <c r="V4" s="25"/>
      <c r="W4" s="120"/>
      <c r="X4" s="26"/>
      <c r="Y4" s="26"/>
      <c r="Z4" s="26"/>
      <c r="AA4" s="27"/>
      <c r="AB4" s="181"/>
      <c r="AD4" s="172" t="s">
        <v>0</v>
      </c>
      <c r="AE4" s="26" t="s">
        <v>97</v>
      </c>
      <c r="AF4" s="26" t="s">
        <v>18</v>
      </c>
      <c r="AG4" s="25"/>
      <c r="AH4" s="174"/>
      <c r="AI4" s="56"/>
      <c r="AJ4" s="25"/>
      <c r="AK4" s="120"/>
      <c r="AL4" s="28"/>
      <c r="AM4" s="154"/>
      <c r="AN4" s="27"/>
      <c r="AO4" s="27"/>
      <c r="AP4" s="150"/>
    </row>
    <row r="5" spans="2:42" x14ac:dyDescent="0.25">
      <c r="B5" s="172" t="s">
        <v>9</v>
      </c>
      <c r="C5" s="73" t="s">
        <v>36</v>
      </c>
      <c r="D5" s="26" t="s">
        <v>128</v>
      </c>
      <c r="E5" s="102"/>
      <c r="F5" s="97"/>
      <c r="G5" s="56"/>
      <c r="H5" s="25"/>
      <c r="I5" s="120"/>
      <c r="J5" s="26"/>
      <c r="K5" s="27"/>
      <c r="L5" s="25"/>
      <c r="M5" s="36"/>
      <c r="N5" s="190"/>
      <c r="P5" s="172" t="s">
        <v>9</v>
      </c>
      <c r="Q5" s="48" t="s">
        <v>132</v>
      </c>
      <c r="R5" s="48" t="s">
        <v>131</v>
      </c>
      <c r="S5" s="25"/>
      <c r="T5" s="97"/>
      <c r="U5" s="56"/>
      <c r="V5" s="25"/>
      <c r="W5" s="120"/>
      <c r="X5" s="26"/>
      <c r="Y5" s="26"/>
      <c r="Z5" s="26"/>
      <c r="AA5" s="27"/>
      <c r="AB5" s="181"/>
      <c r="AD5" s="172" t="s">
        <v>9</v>
      </c>
      <c r="AE5" s="26" t="s">
        <v>26</v>
      </c>
      <c r="AF5" s="26" t="s">
        <v>19</v>
      </c>
      <c r="AG5" s="151"/>
      <c r="AH5" s="97"/>
      <c r="AI5" s="56"/>
      <c r="AJ5" s="25"/>
      <c r="AK5" s="120"/>
      <c r="AL5" s="152"/>
      <c r="AM5" s="27"/>
      <c r="AN5" s="27"/>
      <c r="AO5" s="27"/>
      <c r="AP5" s="150"/>
    </row>
    <row r="6" spans="2:42" x14ac:dyDescent="0.25">
      <c r="B6" s="172" t="s">
        <v>10</v>
      </c>
      <c r="C6" s="26" t="s">
        <v>30</v>
      </c>
      <c r="D6" s="26" t="s">
        <v>129</v>
      </c>
      <c r="E6" s="102"/>
      <c r="F6" s="97"/>
      <c r="G6" s="56"/>
      <c r="H6" s="25"/>
      <c r="I6" s="120"/>
      <c r="J6" s="26"/>
      <c r="K6" s="27"/>
      <c r="L6" s="27"/>
      <c r="M6" s="36"/>
      <c r="N6" s="190"/>
      <c r="P6" s="172" t="s">
        <v>10</v>
      </c>
      <c r="Q6" s="26" t="s">
        <v>160</v>
      </c>
      <c r="R6" s="26" t="s">
        <v>161</v>
      </c>
      <c r="S6" s="25"/>
      <c r="T6" s="97"/>
      <c r="U6" s="56"/>
      <c r="V6" s="25"/>
      <c r="W6" s="120"/>
      <c r="X6" s="73"/>
      <c r="Y6" s="26"/>
      <c r="Z6" s="26"/>
      <c r="AA6" s="27"/>
      <c r="AB6" s="181"/>
      <c r="AD6" s="172" t="s">
        <v>10</v>
      </c>
      <c r="AE6" s="26" t="s">
        <v>196</v>
      </c>
      <c r="AF6" s="26" t="s">
        <v>192</v>
      </c>
      <c r="AG6" s="25"/>
      <c r="AH6" s="97"/>
      <c r="AI6" s="56"/>
      <c r="AJ6" s="25"/>
      <c r="AK6" s="120"/>
      <c r="AL6" s="28"/>
      <c r="AM6" s="27"/>
      <c r="AN6" s="27"/>
      <c r="AO6" s="27"/>
      <c r="AP6" s="150"/>
    </row>
    <row r="7" spans="2:42" x14ac:dyDescent="0.25">
      <c r="B7" s="172" t="s">
        <v>11</v>
      </c>
      <c r="C7" s="73" t="s">
        <v>79</v>
      </c>
      <c r="D7" s="26" t="s">
        <v>128</v>
      </c>
      <c r="E7" s="102"/>
      <c r="F7" s="97"/>
      <c r="G7" s="56"/>
      <c r="H7" s="151"/>
      <c r="I7" s="120"/>
      <c r="J7" s="26"/>
      <c r="K7" s="27"/>
      <c r="L7" s="27"/>
      <c r="M7" s="182"/>
      <c r="N7" s="190"/>
      <c r="P7" s="172" t="s">
        <v>11</v>
      </c>
      <c r="Q7" s="73" t="s">
        <v>21</v>
      </c>
      <c r="R7" s="26" t="s">
        <v>18</v>
      </c>
      <c r="S7" s="25"/>
      <c r="T7" s="97"/>
      <c r="U7" s="56"/>
      <c r="V7" s="25"/>
      <c r="W7" s="120"/>
      <c r="X7" s="26"/>
      <c r="Y7" s="26"/>
      <c r="Z7" s="26"/>
      <c r="AA7" s="27"/>
      <c r="AB7" s="181"/>
      <c r="AD7" s="172" t="s">
        <v>11</v>
      </c>
      <c r="AE7" s="48" t="s">
        <v>177</v>
      </c>
      <c r="AF7" s="26" t="s">
        <v>63</v>
      </c>
      <c r="AG7" s="25"/>
      <c r="AH7" s="97"/>
      <c r="AI7" s="56"/>
      <c r="AJ7" s="25"/>
      <c r="AK7" s="120"/>
      <c r="AL7" s="28"/>
      <c r="AM7" s="27"/>
      <c r="AN7" s="27"/>
      <c r="AO7" s="27"/>
      <c r="AP7" s="150"/>
    </row>
    <row r="8" spans="2:42" x14ac:dyDescent="0.25">
      <c r="B8" s="172" t="s">
        <v>12</v>
      </c>
      <c r="C8" s="26" t="s">
        <v>173</v>
      </c>
      <c r="D8" s="26" t="s">
        <v>175</v>
      </c>
      <c r="E8" s="25"/>
      <c r="F8" s="97"/>
      <c r="G8" s="56"/>
      <c r="H8" s="25"/>
      <c r="I8" s="120"/>
      <c r="J8" s="26"/>
      <c r="K8" s="27"/>
      <c r="L8" s="25"/>
      <c r="M8" s="26"/>
      <c r="N8" s="190"/>
      <c r="P8" s="172" t="s">
        <v>12</v>
      </c>
      <c r="Q8" s="26" t="s">
        <v>23</v>
      </c>
      <c r="R8" s="26" t="s">
        <v>18</v>
      </c>
      <c r="S8" s="25"/>
      <c r="T8" s="97"/>
      <c r="U8" s="153"/>
      <c r="V8" s="25"/>
      <c r="W8" s="120"/>
      <c r="X8" s="73"/>
      <c r="Y8" s="26"/>
      <c r="Z8" s="182"/>
      <c r="AA8" s="27"/>
      <c r="AB8" s="181"/>
      <c r="AD8" s="172" t="s">
        <v>12</v>
      </c>
      <c r="AE8" s="73" t="s">
        <v>27</v>
      </c>
      <c r="AF8" s="26" t="s">
        <v>19</v>
      </c>
      <c r="AG8" s="25"/>
      <c r="AH8" s="97"/>
      <c r="AI8" s="153"/>
      <c r="AJ8" s="25"/>
      <c r="AK8" s="120"/>
      <c r="AL8" s="28"/>
      <c r="AM8" s="27"/>
      <c r="AN8" s="154"/>
      <c r="AO8" s="27"/>
      <c r="AP8" s="150"/>
    </row>
    <row r="9" spans="2:42" x14ac:dyDescent="0.25">
      <c r="B9" s="172" t="s">
        <v>13</v>
      </c>
      <c r="C9" s="26" t="s">
        <v>155</v>
      </c>
      <c r="D9" s="26" t="s">
        <v>175</v>
      </c>
      <c r="E9" s="102"/>
      <c r="F9" s="97"/>
      <c r="G9" s="56"/>
      <c r="H9" s="25"/>
      <c r="I9" s="120"/>
      <c r="J9" s="26"/>
      <c r="K9" s="27"/>
      <c r="L9" s="27"/>
      <c r="M9" s="26"/>
      <c r="N9" s="190"/>
      <c r="P9" s="172" t="s">
        <v>13</v>
      </c>
      <c r="Q9" s="26" t="s">
        <v>135</v>
      </c>
      <c r="R9" s="48" t="s">
        <v>131</v>
      </c>
      <c r="S9" s="110"/>
      <c r="T9" s="97"/>
      <c r="U9" s="56"/>
      <c r="V9" s="25"/>
      <c r="W9" s="120"/>
      <c r="X9" s="26"/>
      <c r="Y9" s="26"/>
      <c r="Z9" s="26"/>
      <c r="AA9" s="27"/>
      <c r="AB9" s="181"/>
      <c r="AD9" s="172" t="s">
        <v>13</v>
      </c>
      <c r="AE9" s="26" t="s">
        <v>201</v>
      </c>
      <c r="AF9" s="26" t="s">
        <v>19</v>
      </c>
      <c r="AG9" s="25"/>
      <c r="AH9" s="97"/>
      <c r="AI9" s="56"/>
      <c r="AJ9" s="25"/>
      <c r="AK9" s="120"/>
      <c r="AL9" s="28"/>
      <c r="AM9" s="27"/>
      <c r="AN9" s="27"/>
      <c r="AO9" s="27"/>
      <c r="AP9" s="150"/>
    </row>
    <row r="10" spans="2:42" x14ac:dyDescent="0.25">
      <c r="B10" s="172" t="s">
        <v>39</v>
      </c>
      <c r="C10" s="73" t="s">
        <v>56</v>
      </c>
      <c r="D10" s="26" t="s">
        <v>128</v>
      </c>
      <c r="E10" s="102"/>
      <c r="F10" s="174"/>
      <c r="G10" s="56"/>
      <c r="H10" s="25"/>
      <c r="I10" s="120"/>
      <c r="J10" s="26"/>
      <c r="K10" s="154"/>
      <c r="L10" s="27"/>
      <c r="M10" s="26"/>
      <c r="N10" s="190"/>
      <c r="P10" s="172" t="s">
        <v>39</v>
      </c>
      <c r="Q10" s="73" t="s">
        <v>163</v>
      </c>
      <c r="R10" s="73" t="s">
        <v>161</v>
      </c>
      <c r="S10" s="25"/>
      <c r="T10" s="97"/>
      <c r="U10" s="56"/>
      <c r="V10" s="25"/>
      <c r="W10" s="120"/>
      <c r="X10" s="73"/>
      <c r="Y10" s="26"/>
      <c r="Z10" s="26"/>
      <c r="AA10" s="27"/>
      <c r="AB10" s="181"/>
      <c r="AD10" s="172" t="s">
        <v>39</v>
      </c>
      <c r="AE10" s="26" t="s">
        <v>64</v>
      </c>
      <c r="AF10" s="26" t="s">
        <v>63</v>
      </c>
      <c r="AG10" s="151"/>
      <c r="AH10" s="97"/>
      <c r="AI10" s="56"/>
      <c r="AJ10" s="25"/>
      <c r="AK10" s="120"/>
      <c r="AL10" s="152"/>
      <c r="AM10" s="27"/>
      <c r="AN10" s="27"/>
      <c r="AO10" s="27"/>
      <c r="AP10" s="150"/>
    </row>
    <row r="11" spans="2:42" x14ac:dyDescent="0.25">
      <c r="B11" s="172" t="s">
        <v>40</v>
      </c>
      <c r="C11" s="26" t="s">
        <v>83</v>
      </c>
      <c r="D11" s="26" t="s">
        <v>129</v>
      </c>
      <c r="E11" s="102"/>
      <c r="F11" s="97"/>
      <c r="G11" s="56"/>
      <c r="H11" s="25"/>
      <c r="I11" s="120"/>
      <c r="J11" s="26"/>
      <c r="K11" s="27"/>
      <c r="L11" s="27"/>
      <c r="M11" s="26"/>
      <c r="N11" s="190"/>
      <c r="P11" s="172" t="s">
        <v>40</v>
      </c>
      <c r="Q11" s="73" t="s">
        <v>20</v>
      </c>
      <c r="R11" s="26" t="s">
        <v>18</v>
      </c>
      <c r="S11" s="25"/>
      <c r="T11" s="174"/>
      <c r="U11" s="56"/>
      <c r="V11" s="25"/>
      <c r="W11" s="120"/>
      <c r="X11" s="73"/>
      <c r="Y11" s="182"/>
      <c r="Z11" s="26"/>
      <c r="AA11" s="27"/>
      <c r="AB11" s="181"/>
      <c r="AD11" s="172" t="s">
        <v>40</v>
      </c>
      <c r="AE11" s="26" t="s">
        <v>194</v>
      </c>
      <c r="AF11" s="26" t="s">
        <v>192</v>
      </c>
      <c r="AG11" s="25"/>
      <c r="AH11" s="97"/>
      <c r="AI11" s="56"/>
      <c r="AJ11" s="25"/>
      <c r="AK11" s="120"/>
      <c r="AL11" s="28"/>
      <c r="AM11" s="27"/>
      <c r="AN11" s="27"/>
      <c r="AO11" s="27"/>
      <c r="AP11" s="150"/>
    </row>
    <row r="12" spans="2:42" x14ac:dyDescent="0.25">
      <c r="B12" s="172" t="s">
        <v>41</v>
      </c>
      <c r="C12" s="48" t="s">
        <v>202</v>
      </c>
      <c r="D12" s="48" t="s">
        <v>171</v>
      </c>
      <c r="E12" s="25"/>
      <c r="F12" s="97"/>
      <c r="G12" s="56"/>
      <c r="H12" s="25"/>
      <c r="I12" s="120"/>
      <c r="J12" s="26"/>
      <c r="K12" s="27"/>
      <c r="L12" s="27"/>
      <c r="M12" s="26"/>
      <c r="N12" s="190"/>
      <c r="P12" s="172" t="s">
        <v>41</v>
      </c>
      <c r="Q12" s="26" t="s">
        <v>153</v>
      </c>
      <c r="R12" s="26" t="s">
        <v>161</v>
      </c>
      <c r="S12" s="25"/>
      <c r="T12" s="97"/>
      <c r="U12" s="56"/>
      <c r="V12" s="151"/>
      <c r="W12" s="120"/>
      <c r="X12" s="73"/>
      <c r="Y12" s="26"/>
      <c r="Z12" s="26"/>
      <c r="AA12" s="154"/>
      <c r="AB12" s="181"/>
      <c r="AD12" s="172" t="s">
        <v>41</v>
      </c>
      <c r="AE12" s="26" t="s">
        <v>214</v>
      </c>
      <c r="AF12" s="26" t="s">
        <v>211</v>
      </c>
      <c r="AG12" s="25"/>
      <c r="AH12" s="97"/>
      <c r="AI12" s="56"/>
      <c r="AJ12" s="25"/>
      <c r="AK12" s="120"/>
      <c r="AL12" s="28"/>
      <c r="AM12" s="27"/>
      <c r="AN12" s="27"/>
      <c r="AO12" s="27"/>
      <c r="AP12" s="181"/>
    </row>
    <row r="13" spans="2:42" x14ac:dyDescent="0.25">
      <c r="B13" s="172" t="s">
        <v>42</v>
      </c>
      <c r="C13" s="26" t="s">
        <v>124</v>
      </c>
      <c r="D13" s="26" t="s">
        <v>127</v>
      </c>
      <c r="E13" s="25"/>
      <c r="F13" s="97"/>
      <c r="G13" s="56"/>
      <c r="H13" s="25"/>
      <c r="I13" s="120"/>
      <c r="J13" s="26"/>
      <c r="K13" s="27"/>
      <c r="L13" s="27"/>
      <c r="M13" s="26"/>
      <c r="N13" s="190"/>
      <c r="P13" s="172" t="s">
        <v>42</v>
      </c>
      <c r="Q13" s="26" t="s">
        <v>137</v>
      </c>
      <c r="R13" s="48" t="s">
        <v>131</v>
      </c>
      <c r="S13" s="25"/>
      <c r="T13" s="97"/>
      <c r="U13" s="56"/>
      <c r="V13" s="25"/>
      <c r="W13" s="120"/>
      <c r="X13" s="26"/>
      <c r="Y13" s="26"/>
      <c r="Z13" s="26"/>
      <c r="AA13" s="27"/>
      <c r="AB13" s="181"/>
      <c r="AD13" s="172" t="s">
        <v>42</v>
      </c>
      <c r="AE13" s="48" t="s">
        <v>195</v>
      </c>
      <c r="AF13" s="26" t="s">
        <v>192</v>
      </c>
      <c r="AG13" s="25"/>
      <c r="AH13" s="97"/>
      <c r="AI13" s="56"/>
      <c r="AJ13" s="151"/>
      <c r="AK13" s="120"/>
      <c r="AL13" s="28"/>
      <c r="AM13" s="27"/>
      <c r="AN13" s="27"/>
      <c r="AO13" s="154"/>
      <c r="AP13" s="150"/>
    </row>
    <row r="14" spans="2:42" x14ac:dyDescent="0.25">
      <c r="B14" s="172" t="s">
        <v>43</v>
      </c>
      <c r="C14" s="26" t="s">
        <v>32</v>
      </c>
      <c r="D14" s="26" t="s">
        <v>129</v>
      </c>
      <c r="E14" s="102"/>
      <c r="F14" s="97"/>
      <c r="G14" s="56"/>
      <c r="H14" s="25"/>
      <c r="I14" s="120"/>
      <c r="J14" s="26"/>
      <c r="K14" s="27"/>
      <c r="L14" s="27"/>
      <c r="M14" s="26"/>
      <c r="N14" s="190"/>
      <c r="P14" s="172" t="s">
        <v>43</v>
      </c>
      <c r="Q14" s="26" t="s">
        <v>162</v>
      </c>
      <c r="R14" s="26" t="s">
        <v>161</v>
      </c>
      <c r="S14" s="25"/>
      <c r="T14" s="97"/>
      <c r="U14" s="56"/>
      <c r="V14" s="25"/>
      <c r="W14" s="120"/>
      <c r="X14" s="26"/>
      <c r="Y14" s="26"/>
      <c r="Z14" s="26"/>
      <c r="AA14" s="27"/>
      <c r="AB14" s="181"/>
      <c r="AD14" s="172" t="s">
        <v>43</v>
      </c>
      <c r="AE14" s="26" t="s">
        <v>57</v>
      </c>
      <c r="AF14" s="26" t="s">
        <v>18</v>
      </c>
      <c r="AG14" s="25"/>
      <c r="AH14" s="97"/>
      <c r="AI14" s="56"/>
      <c r="AJ14" s="151"/>
      <c r="AK14" s="120"/>
      <c r="AL14" s="28"/>
      <c r="AM14" s="27"/>
      <c r="AN14" s="27"/>
      <c r="AO14" s="154"/>
      <c r="AP14" s="150"/>
    </row>
    <row r="15" spans="2:42" x14ac:dyDescent="0.25">
      <c r="B15" s="172" t="s">
        <v>44</v>
      </c>
      <c r="C15" s="48" t="s">
        <v>165</v>
      </c>
      <c r="D15" s="48" t="s">
        <v>171</v>
      </c>
      <c r="E15" s="102"/>
      <c r="F15" s="97"/>
      <c r="G15" s="56"/>
      <c r="H15" s="25"/>
      <c r="I15" s="120"/>
      <c r="J15" s="26"/>
      <c r="K15" s="27"/>
      <c r="L15" s="27"/>
      <c r="M15" s="26"/>
      <c r="N15" s="190"/>
      <c r="P15" s="172" t="s">
        <v>44</v>
      </c>
      <c r="Q15" s="26" t="s">
        <v>178</v>
      </c>
      <c r="R15" s="26" t="s">
        <v>63</v>
      </c>
      <c r="S15" s="25"/>
      <c r="T15" s="97"/>
      <c r="U15" s="56"/>
      <c r="V15" s="25"/>
      <c r="W15" s="120"/>
      <c r="X15" s="26"/>
      <c r="Y15" s="26"/>
      <c r="Z15" s="26"/>
      <c r="AA15" s="27"/>
      <c r="AB15" s="181"/>
      <c r="AD15" s="172" t="s">
        <v>44</v>
      </c>
      <c r="AE15" s="26" t="s">
        <v>188</v>
      </c>
      <c r="AF15" s="26" t="s">
        <v>18</v>
      </c>
      <c r="AG15" s="25"/>
      <c r="AH15" s="97"/>
      <c r="AI15" s="56"/>
      <c r="AJ15" s="25"/>
      <c r="AK15" s="120"/>
      <c r="AL15" s="28"/>
      <c r="AM15" s="27"/>
      <c r="AN15" s="27"/>
      <c r="AO15" s="27"/>
      <c r="AP15" s="150"/>
    </row>
    <row r="16" spans="2:42" x14ac:dyDescent="0.25">
      <c r="B16" s="172" t="s">
        <v>45</v>
      </c>
      <c r="C16" s="26" t="s">
        <v>60</v>
      </c>
      <c r="D16" s="26" t="s">
        <v>58</v>
      </c>
      <c r="E16" s="102"/>
      <c r="F16" s="97"/>
      <c r="G16" s="153"/>
      <c r="H16" s="25"/>
      <c r="I16" s="120"/>
      <c r="J16" s="26"/>
      <c r="K16" s="27"/>
      <c r="L16" s="154"/>
      <c r="M16" s="26"/>
      <c r="N16" s="190"/>
      <c r="P16" s="172" t="s">
        <v>45</v>
      </c>
      <c r="Q16" s="26" t="s">
        <v>117</v>
      </c>
      <c r="R16" s="26" t="s">
        <v>168</v>
      </c>
      <c r="S16" s="25"/>
      <c r="T16" s="97"/>
      <c r="U16" s="56"/>
      <c r="V16" s="25"/>
      <c r="W16" s="120"/>
      <c r="X16" s="26"/>
      <c r="Y16" s="26"/>
      <c r="Z16" s="26"/>
      <c r="AA16" s="27"/>
      <c r="AB16" s="181"/>
      <c r="AD16" s="172" t="s">
        <v>45</v>
      </c>
      <c r="AE16" s="26" t="s">
        <v>96</v>
      </c>
      <c r="AF16" s="26" t="s">
        <v>18</v>
      </c>
      <c r="AG16" s="25"/>
      <c r="AH16" s="97"/>
      <c r="AI16" s="56"/>
      <c r="AJ16" s="25"/>
      <c r="AK16" s="120"/>
      <c r="AL16" s="28"/>
      <c r="AM16" s="27"/>
      <c r="AN16" s="27"/>
      <c r="AO16" s="27"/>
      <c r="AP16" s="150"/>
    </row>
    <row r="17" spans="2:42" x14ac:dyDescent="0.25">
      <c r="B17" s="172" t="s">
        <v>46</v>
      </c>
      <c r="C17" s="26" t="s">
        <v>59</v>
      </c>
      <c r="D17" s="26" t="s">
        <v>58</v>
      </c>
      <c r="E17" s="102"/>
      <c r="F17" s="97"/>
      <c r="G17" s="153"/>
      <c r="H17" s="25"/>
      <c r="I17" s="120"/>
      <c r="J17" s="26"/>
      <c r="K17" s="27"/>
      <c r="L17" s="154"/>
      <c r="M17" s="26"/>
      <c r="N17" s="190"/>
      <c r="P17" s="172" t="s">
        <v>46</v>
      </c>
      <c r="Q17" s="48" t="s">
        <v>136</v>
      </c>
      <c r="R17" s="48" t="s">
        <v>131</v>
      </c>
      <c r="S17" s="110"/>
      <c r="T17" s="97"/>
      <c r="U17" s="56"/>
      <c r="V17" s="25"/>
      <c r="W17" s="120"/>
      <c r="X17" s="73"/>
      <c r="Y17" s="26"/>
      <c r="Z17" s="26"/>
      <c r="AA17" s="27"/>
      <c r="AB17" s="181"/>
      <c r="AD17" s="172" t="s">
        <v>46</v>
      </c>
      <c r="AE17" s="26" t="s">
        <v>28</v>
      </c>
      <c r="AF17" s="26" t="s">
        <v>19</v>
      </c>
      <c r="AG17" s="25"/>
      <c r="AH17" s="97"/>
      <c r="AI17" s="153"/>
      <c r="AJ17" s="25"/>
      <c r="AK17" s="120"/>
      <c r="AL17" s="28"/>
      <c r="AM17" s="27"/>
      <c r="AN17" s="154"/>
      <c r="AO17" s="27"/>
      <c r="AP17" s="150"/>
    </row>
    <row r="18" spans="2:42" ht="16.5" thickBot="1" x14ac:dyDescent="0.3">
      <c r="B18" s="172" t="s">
        <v>47</v>
      </c>
      <c r="C18" s="26" t="s">
        <v>78</v>
      </c>
      <c r="D18" s="26" t="s">
        <v>128</v>
      </c>
      <c r="E18" s="191"/>
      <c r="F18" s="97"/>
      <c r="G18" s="56"/>
      <c r="H18" s="25"/>
      <c r="I18" s="120"/>
      <c r="J18" s="182"/>
      <c r="K18" s="27"/>
      <c r="L18" s="25"/>
      <c r="M18" s="26"/>
      <c r="N18" s="190"/>
      <c r="P18" s="172" t="s">
        <v>47</v>
      </c>
      <c r="Q18" s="26" t="s">
        <v>25</v>
      </c>
      <c r="R18" s="26" t="s">
        <v>168</v>
      </c>
      <c r="S18" s="25"/>
      <c r="T18" s="97"/>
      <c r="U18" s="56"/>
      <c r="V18" s="25"/>
      <c r="W18" s="120"/>
      <c r="X18" s="73"/>
      <c r="Y18" s="26"/>
      <c r="Z18" s="26"/>
      <c r="AA18" s="27"/>
      <c r="AB18" s="181"/>
      <c r="AD18" s="175" t="s">
        <v>47</v>
      </c>
      <c r="AE18" s="155" t="s">
        <v>193</v>
      </c>
      <c r="AF18" s="155" t="s">
        <v>192</v>
      </c>
      <c r="AG18" s="156"/>
      <c r="AH18" s="157"/>
      <c r="AI18" s="158"/>
      <c r="AJ18" s="156"/>
      <c r="AK18" s="159"/>
      <c r="AL18" s="197"/>
      <c r="AM18" s="160"/>
      <c r="AN18" s="160"/>
      <c r="AO18" s="160"/>
      <c r="AP18" s="161"/>
    </row>
    <row r="19" spans="2:42" x14ac:dyDescent="0.25">
      <c r="B19" s="172" t="s">
        <v>48</v>
      </c>
      <c r="C19" s="48" t="s">
        <v>22</v>
      </c>
      <c r="D19" s="26" t="s">
        <v>127</v>
      </c>
      <c r="E19" s="102"/>
      <c r="F19" s="97"/>
      <c r="G19" s="56"/>
      <c r="H19" s="25"/>
      <c r="I19" s="120"/>
      <c r="J19" s="26"/>
      <c r="K19" s="27"/>
      <c r="L19" s="27"/>
      <c r="M19" s="59"/>
      <c r="N19" s="190"/>
      <c r="P19" s="172" t="s">
        <v>48</v>
      </c>
      <c r="Q19" s="26" t="s">
        <v>115</v>
      </c>
      <c r="R19" s="26" t="s">
        <v>116</v>
      </c>
      <c r="S19" s="25"/>
      <c r="T19" s="97"/>
      <c r="U19" s="56"/>
      <c r="V19" s="25"/>
      <c r="W19" s="120"/>
      <c r="X19" s="73"/>
      <c r="Y19" s="26"/>
      <c r="Z19" s="26"/>
      <c r="AA19" s="27"/>
      <c r="AB19" s="181"/>
      <c r="AD19" s="56"/>
    </row>
    <row r="20" spans="2:42" x14ac:dyDescent="0.25">
      <c r="B20" s="172" t="s">
        <v>49</v>
      </c>
      <c r="C20" s="48" t="s">
        <v>180</v>
      </c>
      <c r="D20" s="48" t="s">
        <v>179</v>
      </c>
      <c r="E20" s="25"/>
      <c r="F20" s="97"/>
      <c r="G20" s="56"/>
      <c r="H20" s="25"/>
      <c r="I20" s="120"/>
      <c r="J20" s="26"/>
      <c r="K20" s="27"/>
      <c r="L20" s="27"/>
      <c r="M20" s="26"/>
      <c r="N20" s="190"/>
      <c r="P20" s="172" t="s">
        <v>49</v>
      </c>
      <c r="Q20" s="26" t="s">
        <v>65</v>
      </c>
      <c r="R20" s="26" t="s">
        <v>63</v>
      </c>
      <c r="S20" s="25"/>
      <c r="T20" s="97"/>
      <c r="U20" s="56"/>
      <c r="V20" s="151"/>
      <c r="W20" s="120"/>
      <c r="X20" s="73"/>
      <c r="Y20" s="26"/>
      <c r="Z20" s="26"/>
      <c r="AA20" s="154"/>
      <c r="AB20" s="181"/>
      <c r="AD20" s="56"/>
      <c r="AK20" s="66"/>
      <c r="AP20" s="72"/>
    </row>
    <row r="21" spans="2:42" x14ac:dyDescent="0.25">
      <c r="B21" s="172" t="s">
        <v>50</v>
      </c>
      <c r="C21" s="26" t="s">
        <v>34</v>
      </c>
      <c r="D21" s="59" t="s">
        <v>101</v>
      </c>
      <c r="E21" s="102"/>
      <c r="F21" s="97"/>
      <c r="G21" s="56"/>
      <c r="H21" s="25"/>
      <c r="I21" s="120"/>
      <c r="J21" s="26"/>
      <c r="K21" s="27"/>
      <c r="L21" s="27"/>
      <c r="M21" s="26"/>
      <c r="N21" s="190"/>
      <c r="P21" s="172" t="s">
        <v>50</v>
      </c>
      <c r="Q21" s="48" t="s">
        <v>213</v>
      </c>
      <c r="R21" s="26" t="s">
        <v>211</v>
      </c>
      <c r="S21" s="25"/>
      <c r="T21" s="97"/>
      <c r="U21" s="56"/>
      <c r="V21" s="25"/>
      <c r="W21" s="120"/>
      <c r="X21" s="26"/>
      <c r="Y21" s="26"/>
      <c r="Z21" s="26"/>
      <c r="AA21" s="27"/>
      <c r="AB21" s="181"/>
      <c r="AD21" s="56"/>
    </row>
    <row r="22" spans="2:42" x14ac:dyDescent="0.25">
      <c r="B22" s="172" t="s">
        <v>51</v>
      </c>
      <c r="C22" s="48" t="s">
        <v>99</v>
      </c>
      <c r="D22" s="26" t="s">
        <v>127</v>
      </c>
      <c r="E22" s="102"/>
      <c r="F22" s="97"/>
      <c r="G22" s="56"/>
      <c r="H22" s="25"/>
      <c r="I22" s="120"/>
      <c r="J22" s="26"/>
      <c r="K22" s="27"/>
      <c r="L22" s="27"/>
      <c r="M22" s="26"/>
      <c r="N22" s="190"/>
      <c r="P22" s="172" t="s">
        <v>51</v>
      </c>
      <c r="Q22" s="26" t="s">
        <v>17</v>
      </c>
      <c r="R22" s="26" t="s">
        <v>18</v>
      </c>
      <c r="S22" s="25"/>
      <c r="T22" s="97"/>
      <c r="U22" s="56"/>
      <c r="V22" s="25"/>
      <c r="W22" s="120"/>
      <c r="X22" s="26"/>
      <c r="Y22" s="26"/>
      <c r="Z22" s="26"/>
      <c r="AA22" s="27"/>
      <c r="AB22" s="181"/>
      <c r="AD22" s="56"/>
    </row>
    <row r="23" spans="2:42" x14ac:dyDescent="0.25">
      <c r="B23" s="172" t="s">
        <v>52</v>
      </c>
      <c r="C23" s="26" t="s">
        <v>31</v>
      </c>
      <c r="D23" s="59" t="s">
        <v>101</v>
      </c>
      <c r="E23" s="102"/>
      <c r="F23" s="97"/>
      <c r="G23" s="56"/>
      <c r="H23" s="25"/>
      <c r="I23" s="120"/>
      <c r="J23" s="26"/>
      <c r="K23" s="27"/>
      <c r="L23" s="27"/>
      <c r="M23" s="26"/>
      <c r="N23" s="190"/>
      <c r="P23" s="172" t="s">
        <v>52</v>
      </c>
      <c r="Q23" s="26" t="s">
        <v>169</v>
      </c>
      <c r="R23" s="26" t="s">
        <v>168</v>
      </c>
      <c r="S23" s="25"/>
      <c r="T23" s="97"/>
      <c r="U23" s="56"/>
      <c r="V23" s="25"/>
      <c r="W23" s="120"/>
      <c r="X23" s="26"/>
      <c r="Y23" s="26"/>
      <c r="Z23" s="26"/>
      <c r="AA23" s="27"/>
      <c r="AB23" s="181"/>
      <c r="AD23" s="56"/>
    </row>
    <row r="24" spans="2:42" x14ac:dyDescent="0.25">
      <c r="B24" s="172" t="s">
        <v>66</v>
      </c>
      <c r="C24" s="26" t="s">
        <v>174</v>
      </c>
      <c r="D24" s="26" t="s">
        <v>175</v>
      </c>
      <c r="E24" s="25"/>
      <c r="F24" s="97"/>
      <c r="G24" s="56"/>
      <c r="H24" s="25"/>
      <c r="I24" s="120"/>
      <c r="J24" s="26"/>
      <c r="K24" s="27"/>
      <c r="L24" s="27"/>
      <c r="M24" s="26"/>
      <c r="N24" s="190"/>
      <c r="P24" s="172" t="s">
        <v>66</v>
      </c>
      <c r="Q24" s="26" t="s">
        <v>215</v>
      </c>
      <c r="R24" s="26" t="s">
        <v>211</v>
      </c>
      <c r="S24" s="25"/>
      <c r="T24" s="97"/>
      <c r="U24" s="56"/>
      <c r="V24" s="25"/>
      <c r="W24" s="120"/>
      <c r="X24" s="73"/>
      <c r="Y24" s="26"/>
      <c r="Z24" s="26"/>
      <c r="AA24" s="27"/>
      <c r="AB24" s="181"/>
      <c r="AC24" s="26"/>
      <c r="AD24" s="56"/>
    </row>
    <row r="25" spans="2:42" x14ac:dyDescent="0.25">
      <c r="B25" s="172" t="s">
        <v>67</v>
      </c>
      <c r="C25" s="48" t="s">
        <v>170</v>
      </c>
      <c r="D25" s="48" t="s">
        <v>171</v>
      </c>
      <c r="E25" s="25"/>
      <c r="F25" s="97"/>
      <c r="G25" s="56"/>
      <c r="H25" s="25"/>
      <c r="I25" s="120"/>
      <c r="J25" s="26"/>
      <c r="K25" s="27"/>
      <c r="L25" s="27"/>
      <c r="M25" s="26"/>
      <c r="N25" s="190"/>
      <c r="P25" s="172" t="s">
        <v>67</v>
      </c>
      <c r="Q25" s="26" t="s">
        <v>24</v>
      </c>
      <c r="R25" s="26" t="s">
        <v>168</v>
      </c>
      <c r="S25" s="25"/>
      <c r="T25" s="97"/>
      <c r="U25" s="56"/>
      <c r="V25" s="25"/>
      <c r="W25" s="120"/>
      <c r="X25" s="73"/>
      <c r="Y25" s="26"/>
      <c r="Z25" s="26"/>
      <c r="AA25" s="27"/>
      <c r="AB25" s="181"/>
      <c r="AC25" s="26"/>
      <c r="AD25" s="56"/>
    </row>
    <row r="26" spans="2:42" x14ac:dyDescent="0.25">
      <c r="B26" s="172" t="s">
        <v>68</v>
      </c>
      <c r="C26" s="26" t="s">
        <v>33</v>
      </c>
      <c r="D26" s="59" t="s">
        <v>101</v>
      </c>
      <c r="E26" s="25"/>
      <c r="F26" s="97"/>
      <c r="G26" s="56"/>
      <c r="H26" s="25"/>
      <c r="I26" s="120"/>
      <c r="J26" s="28"/>
      <c r="K26" s="28"/>
      <c r="L26" s="27"/>
      <c r="M26" s="26"/>
      <c r="N26" s="190"/>
      <c r="P26" s="172" t="s">
        <v>68</v>
      </c>
      <c r="Q26" s="26" t="s">
        <v>154</v>
      </c>
      <c r="R26" s="26" t="s">
        <v>133</v>
      </c>
      <c r="S26" s="25"/>
      <c r="T26" s="97"/>
      <c r="U26" s="56"/>
      <c r="V26" s="25"/>
      <c r="W26" s="120"/>
      <c r="X26" s="73"/>
      <c r="Y26" s="26"/>
      <c r="Z26" s="26"/>
      <c r="AA26" s="27"/>
      <c r="AB26" s="181"/>
      <c r="AD26" s="56"/>
    </row>
    <row r="27" spans="2:42" x14ac:dyDescent="0.25">
      <c r="B27" s="172" t="s">
        <v>69</v>
      </c>
      <c r="C27" s="26" t="s">
        <v>126</v>
      </c>
      <c r="D27" s="26" t="s">
        <v>100</v>
      </c>
      <c r="E27" s="25"/>
      <c r="F27" s="97"/>
      <c r="G27" s="56"/>
      <c r="H27" s="25"/>
      <c r="I27" s="120"/>
      <c r="J27" s="26"/>
      <c r="K27" s="27"/>
      <c r="L27" s="27"/>
      <c r="M27" s="26"/>
      <c r="N27" s="190"/>
      <c r="P27" s="172" t="s">
        <v>69</v>
      </c>
      <c r="Q27" s="26" t="s">
        <v>206</v>
      </c>
      <c r="R27" s="26" t="s">
        <v>207</v>
      </c>
      <c r="S27" s="25"/>
      <c r="T27" s="97"/>
      <c r="U27" s="56"/>
      <c r="V27" s="25"/>
      <c r="W27" s="120"/>
      <c r="X27" s="26"/>
      <c r="Y27" s="26"/>
      <c r="Z27" s="26"/>
      <c r="AA27" s="27"/>
      <c r="AB27" s="181"/>
      <c r="AD27" s="26"/>
    </row>
    <row r="28" spans="2:42" x14ac:dyDescent="0.25">
      <c r="B28" s="172" t="s">
        <v>70</v>
      </c>
      <c r="C28" s="26" t="s">
        <v>125</v>
      </c>
      <c r="D28" s="26" t="s">
        <v>100</v>
      </c>
      <c r="E28" s="25"/>
      <c r="F28" s="97"/>
      <c r="G28" s="56"/>
      <c r="H28" s="25"/>
      <c r="I28" s="120"/>
      <c r="J28" s="26"/>
      <c r="K28" s="27"/>
      <c r="L28" s="27"/>
      <c r="M28" s="26"/>
      <c r="N28" s="190"/>
      <c r="P28" s="172" t="s">
        <v>70</v>
      </c>
      <c r="Q28" s="48" t="s">
        <v>208</v>
      </c>
      <c r="R28" s="26" t="s">
        <v>207</v>
      </c>
      <c r="S28" s="25"/>
      <c r="T28" s="97"/>
      <c r="U28" s="56"/>
      <c r="V28" s="25"/>
      <c r="W28" s="120"/>
      <c r="X28" s="26"/>
      <c r="Y28" s="26"/>
      <c r="Z28" s="26"/>
      <c r="AA28" s="27"/>
      <c r="AB28" s="181"/>
      <c r="AD28" s="26"/>
    </row>
    <row r="29" spans="2:42" x14ac:dyDescent="0.25">
      <c r="B29" s="172" t="s">
        <v>71</v>
      </c>
      <c r="C29" s="26" t="s">
        <v>84</v>
      </c>
      <c r="D29" s="26" t="s">
        <v>129</v>
      </c>
      <c r="E29" s="102"/>
      <c r="F29" s="97"/>
      <c r="G29" s="56"/>
      <c r="H29" s="25"/>
      <c r="I29" s="120"/>
      <c r="J29" s="26"/>
      <c r="K29" s="27"/>
      <c r="L29" s="27"/>
      <c r="M29" s="26"/>
      <c r="N29" s="190"/>
      <c r="P29" s="172" t="s">
        <v>71</v>
      </c>
      <c r="Q29" s="26" t="s">
        <v>152</v>
      </c>
      <c r="R29" s="26" t="s">
        <v>168</v>
      </c>
      <c r="S29" s="25"/>
      <c r="T29" s="97"/>
      <c r="U29" s="56"/>
      <c r="V29" s="25"/>
      <c r="W29" s="120"/>
      <c r="X29" s="73"/>
      <c r="Y29" s="26"/>
      <c r="Z29" s="26"/>
      <c r="AA29" s="27"/>
      <c r="AB29" s="181"/>
      <c r="AD29" s="26"/>
    </row>
    <row r="30" spans="2:42" ht="16.5" thickBot="1" x14ac:dyDescent="0.3">
      <c r="B30" s="175" t="s">
        <v>72</v>
      </c>
      <c r="C30" s="155" t="s">
        <v>176</v>
      </c>
      <c r="D30" s="155" t="s">
        <v>100</v>
      </c>
      <c r="E30" s="156"/>
      <c r="F30" s="157"/>
      <c r="G30" s="158"/>
      <c r="H30" s="156"/>
      <c r="I30" s="159"/>
      <c r="J30" s="155"/>
      <c r="K30" s="160"/>
      <c r="L30" s="160"/>
      <c r="M30" s="155"/>
      <c r="N30" s="192"/>
      <c r="P30" s="172" t="s">
        <v>72</v>
      </c>
      <c r="Q30" s="26" t="s">
        <v>210</v>
      </c>
      <c r="R30" s="26" t="s">
        <v>207</v>
      </c>
      <c r="S30" s="25"/>
      <c r="T30" s="97"/>
      <c r="U30" s="56"/>
      <c r="V30" s="25"/>
      <c r="W30" s="120"/>
      <c r="X30" s="26"/>
      <c r="Y30" s="26"/>
      <c r="Z30" s="26"/>
      <c r="AA30" s="27"/>
      <c r="AB30" s="181"/>
      <c r="AD30" s="26"/>
    </row>
    <row r="31" spans="2:42" ht="16.5" thickBot="1" x14ac:dyDescent="0.3">
      <c r="B31" s="16"/>
      <c r="E31" s="7"/>
      <c r="N31" s="102"/>
      <c r="P31" s="175" t="s">
        <v>73</v>
      </c>
      <c r="Q31" s="155" t="s">
        <v>164</v>
      </c>
      <c r="R31" s="155" t="s">
        <v>133</v>
      </c>
      <c r="S31" s="156"/>
      <c r="T31" s="157"/>
      <c r="U31" s="158"/>
      <c r="V31" s="156"/>
      <c r="W31" s="159"/>
      <c r="X31" s="183"/>
      <c r="Y31" s="155"/>
      <c r="Z31" s="155"/>
      <c r="AA31" s="160"/>
      <c r="AB31" s="184"/>
      <c r="AD31" s="26"/>
    </row>
    <row r="32" spans="2:42" x14ac:dyDescent="0.25">
      <c r="B32" s="16"/>
      <c r="P32" s="56"/>
      <c r="Q32" s="26"/>
      <c r="R32" s="26"/>
      <c r="S32" s="25"/>
      <c r="T32" s="97"/>
      <c r="U32" s="56"/>
      <c r="V32" s="25"/>
      <c r="W32" s="120"/>
      <c r="X32" s="26"/>
      <c r="Y32" s="26"/>
      <c r="Z32" s="26"/>
      <c r="AA32" s="27"/>
      <c r="AB32" s="78"/>
      <c r="AD32" s="26"/>
    </row>
    <row r="33" spans="2:28" x14ac:dyDescent="0.25">
      <c r="B33" s="16"/>
      <c r="P33" s="56"/>
    </row>
    <row r="34" spans="2:28" x14ac:dyDescent="0.25">
      <c r="B34" s="16"/>
      <c r="P34" s="56"/>
      <c r="W34" s="68"/>
      <c r="AB34" s="79"/>
    </row>
    <row r="35" spans="2:28" x14ac:dyDescent="0.25">
      <c r="B35" s="16"/>
      <c r="P35" s="56"/>
    </row>
    <row r="36" spans="2:28" x14ac:dyDescent="0.25">
      <c r="B36" s="16"/>
      <c r="P36" s="56"/>
      <c r="AB36" s="79"/>
    </row>
    <row r="37" spans="2:28" x14ac:dyDescent="0.25">
      <c r="B37" s="16"/>
      <c r="P37" s="56"/>
      <c r="AB37" s="79"/>
    </row>
    <row r="38" spans="2:28" x14ac:dyDescent="0.25">
      <c r="B38" s="16"/>
      <c r="AB38" s="79"/>
    </row>
    <row r="39" spans="2:28" x14ac:dyDescent="0.25">
      <c r="B39" s="16"/>
      <c r="AB39" s="79"/>
    </row>
    <row r="40" spans="2:28" x14ac:dyDescent="0.25">
      <c r="B40" s="16"/>
      <c r="AB40" s="79"/>
    </row>
    <row r="41" spans="2:28" x14ac:dyDescent="0.25">
      <c r="B41" s="16"/>
      <c r="Q41" s="66"/>
      <c r="AB41" s="79"/>
    </row>
    <row r="42" spans="2:28" x14ac:dyDescent="0.25">
      <c r="B42" s="16"/>
      <c r="AB42" s="79"/>
    </row>
    <row r="43" spans="2:28" x14ac:dyDescent="0.25">
      <c r="B43" s="16"/>
      <c r="AB43" s="79"/>
    </row>
    <row r="44" spans="2:28" x14ac:dyDescent="0.25">
      <c r="B44" s="16"/>
      <c r="X44" s="14"/>
      <c r="Y44" s="14"/>
      <c r="Z44" s="14"/>
      <c r="AA44" s="16"/>
      <c r="AB44" s="78"/>
    </row>
    <row r="45" spans="2:28" x14ac:dyDescent="0.25">
      <c r="B45" s="16"/>
      <c r="C45" s="48"/>
      <c r="D45" s="48"/>
      <c r="E45" s="7"/>
      <c r="N45" s="102"/>
      <c r="AB45" s="79"/>
    </row>
    <row r="46" spans="2:28" x14ac:dyDescent="0.25">
      <c r="B46" s="16"/>
      <c r="C46" s="48"/>
      <c r="D46" s="48"/>
      <c r="E46" s="7"/>
      <c r="N46" s="102"/>
      <c r="AB46" s="79"/>
    </row>
    <row r="47" spans="2:28" x14ac:dyDescent="0.25">
      <c r="B47" s="16"/>
      <c r="C47" s="48"/>
      <c r="D47" s="48"/>
      <c r="E47" s="7"/>
      <c r="N47" s="102"/>
      <c r="AB47" s="79"/>
    </row>
    <row r="48" spans="2:28" x14ac:dyDescent="0.25">
      <c r="B48" s="16"/>
      <c r="AB48" s="79"/>
    </row>
    <row r="49" spans="2:28" x14ac:dyDescent="0.25">
      <c r="B49" s="16"/>
      <c r="AB49" s="79"/>
    </row>
    <row r="50" spans="2:28" x14ac:dyDescent="0.25">
      <c r="B50" s="16"/>
      <c r="AB50" s="79"/>
    </row>
    <row r="51" spans="2:28" x14ac:dyDescent="0.25">
      <c r="B51" s="16"/>
      <c r="C51" s="48"/>
      <c r="D51" s="48"/>
      <c r="N51" s="102"/>
      <c r="AB51" s="79"/>
    </row>
    <row r="52" spans="2:28" x14ac:dyDescent="0.25">
      <c r="B52" s="16"/>
      <c r="C52" s="48"/>
      <c r="D52" s="48"/>
      <c r="N52" s="102"/>
      <c r="AB52" s="79"/>
    </row>
    <row r="53" spans="2:28" x14ac:dyDescent="0.25">
      <c r="B53" s="16"/>
      <c r="N53" s="102"/>
    </row>
    <row r="54" spans="2:28" x14ac:dyDescent="0.25">
      <c r="B54" s="16"/>
      <c r="C54" s="48"/>
      <c r="N54" s="102"/>
      <c r="R54" s="54"/>
    </row>
    <row r="55" spans="2:28" x14ac:dyDescent="0.25">
      <c r="B55" s="16"/>
      <c r="N55" s="102"/>
    </row>
    <row r="56" spans="2:28" x14ac:dyDescent="0.25">
      <c r="B56" s="16"/>
      <c r="C56" s="48"/>
      <c r="D56" s="48"/>
      <c r="N56" s="102"/>
    </row>
    <row r="57" spans="2:28" x14ac:dyDescent="0.25">
      <c r="B57" s="16"/>
      <c r="N57" s="102"/>
    </row>
    <row r="58" spans="2:28" x14ac:dyDescent="0.25">
      <c r="B58" s="16"/>
      <c r="C58" s="48"/>
      <c r="D58" s="48"/>
      <c r="N58" s="102"/>
    </row>
    <row r="59" spans="2:28" x14ac:dyDescent="0.25">
      <c r="B59" s="16"/>
      <c r="C59" s="26"/>
      <c r="D59" s="48"/>
      <c r="N59" s="102"/>
    </row>
    <row r="60" spans="2:28" x14ac:dyDescent="0.25">
      <c r="B60" s="16"/>
      <c r="N60" s="102"/>
    </row>
    <row r="61" spans="2:28" x14ac:dyDescent="0.25">
      <c r="B61" s="16"/>
    </row>
    <row r="62" spans="2:28" x14ac:dyDescent="0.25">
      <c r="B62" s="16"/>
    </row>
    <row r="63" spans="2:28" x14ac:dyDescent="0.25">
      <c r="B63" s="16"/>
    </row>
    <row r="64" spans="2:28" x14ac:dyDescent="0.25">
      <c r="B64" s="16"/>
    </row>
    <row r="65" spans="2:14" x14ac:dyDescent="0.25">
      <c r="B65" s="16"/>
    </row>
    <row r="66" spans="2:14" x14ac:dyDescent="0.25">
      <c r="B66" s="16"/>
    </row>
    <row r="72" spans="2:14" x14ac:dyDescent="0.25">
      <c r="J72" s="67" t="e">
        <f>AVERAGE(J10:J70)</f>
        <v>#DIV/0!</v>
      </c>
      <c r="K72" s="67" t="e">
        <f>AVERAGE(K10:K70)</f>
        <v>#DIV/0!</v>
      </c>
      <c r="L72" s="67" t="e">
        <f>AVERAGE(L10:L70)</f>
        <v>#DIV/0!</v>
      </c>
      <c r="M72" s="67" t="e">
        <f>AVERAGE(M10:M70)</f>
        <v>#DIV/0!</v>
      </c>
      <c r="N72" s="70" t="e">
        <f>AVERAGE(N10:N70)</f>
        <v>#DIV/0!</v>
      </c>
    </row>
  </sheetData>
  <pageMargins left="0.48" right="0.7" top="0.5" bottom="0.45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8"/>
  <sheetViews>
    <sheetView zoomScaleNormal="100" workbookViewId="0">
      <selection activeCell="P16" sqref="P16"/>
    </sheetView>
  </sheetViews>
  <sheetFormatPr defaultRowHeight="15.75" x14ac:dyDescent="0.25"/>
  <cols>
    <col min="1" max="1" width="2.42578125" style="16" customWidth="1"/>
    <col min="2" max="2" width="23" customWidth="1"/>
    <col min="3" max="3" width="16.42578125" customWidth="1"/>
    <col min="4" max="4" width="5.42578125" style="8" customWidth="1"/>
    <col min="5" max="5" width="7" style="8" customWidth="1"/>
    <col min="6" max="6" width="4.85546875" style="8" customWidth="1"/>
    <col min="7" max="7" width="3.5703125" style="8" customWidth="1"/>
    <col min="8" max="8" width="5.7109375" style="40" customWidth="1"/>
    <col min="9" max="9" width="7.140625" customWidth="1"/>
    <col min="10" max="10" width="7.42578125" customWidth="1"/>
  </cols>
  <sheetData>
    <row r="1" spans="1:10" ht="18.75" x14ac:dyDescent="0.3">
      <c r="B1" s="10" t="s">
        <v>220</v>
      </c>
      <c r="E1" s="11" t="s">
        <v>7</v>
      </c>
      <c r="F1" s="7"/>
      <c r="G1" s="7"/>
      <c r="H1" s="39" t="s">
        <v>8</v>
      </c>
    </row>
    <row r="3" spans="1:10" x14ac:dyDescent="0.25">
      <c r="A3" s="55"/>
      <c r="B3" s="53" t="s">
        <v>1</v>
      </c>
      <c r="C3" s="53" t="s">
        <v>2</v>
      </c>
      <c r="D3" s="53" t="s">
        <v>4</v>
      </c>
      <c r="E3" s="53" t="s">
        <v>5</v>
      </c>
      <c r="F3" s="53" t="s">
        <v>6</v>
      </c>
      <c r="G3" s="53">
        <v>9</v>
      </c>
      <c r="H3" s="42"/>
      <c r="I3" s="30"/>
      <c r="J3" s="30"/>
    </row>
    <row r="4" spans="1:10" ht="15.75" customHeight="1" x14ac:dyDescent="0.3">
      <c r="A4" s="56" t="s">
        <v>0</v>
      </c>
      <c r="B4" s="33" t="s">
        <v>78</v>
      </c>
      <c r="C4" s="33" t="s">
        <v>128</v>
      </c>
      <c r="D4" s="8">
        <f>103+104+86+99</f>
        <v>392</v>
      </c>
      <c r="E4" s="8">
        <f>71+54+68+58</f>
        <v>251</v>
      </c>
      <c r="F4" s="8">
        <v>0</v>
      </c>
      <c r="G4" s="8">
        <v>20</v>
      </c>
      <c r="H4" s="123">
        <f t="shared" ref="H4:H7" si="0">+D4+E4</f>
        <v>643</v>
      </c>
      <c r="I4" s="224">
        <f t="shared" ref="I4" si="1">+H4+H5</f>
        <v>1227</v>
      </c>
      <c r="J4" s="221">
        <f t="shared" ref="J4" si="2">+I4+I6</f>
        <v>2438</v>
      </c>
    </row>
    <row r="5" spans="1:10" ht="15.75" customHeight="1" x14ac:dyDescent="0.25">
      <c r="A5" s="56"/>
      <c r="B5" s="26" t="s">
        <v>79</v>
      </c>
      <c r="C5" s="26" t="s">
        <v>128</v>
      </c>
      <c r="D5" s="8">
        <f>97+93+99+103</f>
        <v>392</v>
      </c>
      <c r="E5" s="8">
        <f>39+47+53+53</f>
        <v>192</v>
      </c>
      <c r="F5" s="19">
        <v>4</v>
      </c>
      <c r="G5" s="8">
        <v>13</v>
      </c>
      <c r="H5" s="41">
        <f t="shared" si="0"/>
        <v>584</v>
      </c>
      <c r="I5" s="218"/>
      <c r="J5" s="222"/>
    </row>
    <row r="6" spans="1:10" ht="15.75" customHeight="1" x14ac:dyDescent="0.25">
      <c r="A6" s="56"/>
      <c r="B6" s="26" t="s">
        <v>56</v>
      </c>
      <c r="C6" s="26" t="s">
        <v>128</v>
      </c>
      <c r="D6" s="19">
        <f>95+88+101+94</f>
        <v>378</v>
      </c>
      <c r="E6" s="8">
        <f>53+45+52+54</f>
        <v>204</v>
      </c>
      <c r="F6" s="8">
        <v>4</v>
      </c>
      <c r="G6" s="8">
        <v>10</v>
      </c>
      <c r="H6" s="41">
        <f t="shared" si="0"/>
        <v>582</v>
      </c>
      <c r="I6" s="218">
        <f>+H6+H7</f>
        <v>1211</v>
      </c>
      <c r="J6" s="222"/>
    </row>
    <row r="7" spans="1:10" ht="15.75" customHeight="1" x14ac:dyDescent="0.25">
      <c r="A7" s="55"/>
      <c r="B7" s="30" t="s">
        <v>36</v>
      </c>
      <c r="C7" s="30" t="s">
        <v>128</v>
      </c>
      <c r="D7" s="31">
        <f>95+103+106+103</f>
        <v>407</v>
      </c>
      <c r="E7" s="31">
        <f>53+53+54+62</f>
        <v>222</v>
      </c>
      <c r="F7" s="31">
        <v>3</v>
      </c>
      <c r="G7" s="31">
        <v>16</v>
      </c>
      <c r="H7" s="127">
        <f t="shared" si="0"/>
        <v>629</v>
      </c>
      <c r="I7" s="219"/>
      <c r="J7" s="223"/>
    </row>
    <row r="8" spans="1:10" ht="15.75" customHeight="1" x14ac:dyDescent="0.25">
      <c r="A8" s="57" t="s">
        <v>9</v>
      </c>
      <c r="B8" s="33" t="s">
        <v>173</v>
      </c>
      <c r="C8" s="33" t="s">
        <v>175</v>
      </c>
      <c r="D8" s="8">
        <f>92+96+97+100</f>
        <v>385</v>
      </c>
      <c r="E8" s="8">
        <f>67+45+53+63</f>
        <v>228</v>
      </c>
      <c r="F8" s="8">
        <v>3</v>
      </c>
      <c r="G8" s="8">
        <v>10</v>
      </c>
      <c r="H8" s="133">
        <f t="shared" ref="H8:H11" si="3">+D8+E8</f>
        <v>613</v>
      </c>
      <c r="I8" s="218">
        <f t="shared" ref="I8" si="4">+H8+H9</f>
        <v>1224</v>
      </c>
      <c r="J8" s="221">
        <f t="shared" ref="J8" si="5">+I8+I10</f>
        <v>2320</v>
      </c>
    </row>
    <row r="9" spans="1:10" ht="15.75" customHeight="1" x14ac:dyDescent="0.25">
      <c r="A9" s="56"/>
      <c r="B9" s="26" t="s">
        <v>224</v>
      </c>
      <c r="C9" s="26" t="s">
        <v>175</v>
      </c>
      <c r="D9" s="8">
        <f>111+105+99+89</f>
        <v>404</v>
      </c>
      <c r="E9" s="8">
        <f>62+47+45+53</f>
        <v>207</v>
      </c>
      <c r="F9" s="8">
        <v>2</v>
      </c>
      <c r="G9" s="8">
        <v>14</v>
      </c>
      <c r="H9" s="133">
        <f t="shared" si="3"/>
        <v>611</v>
      </c>
      <c r="I9" s="218"/>
      <c r="J9" s="222"/>
    </row>
    <row r="10" spans="1:10" ht="15.75" customHeight="1" x14ac:dyDescent="0.25">
      <c r="A10" s="56"/>
      <c r="B10" s="26" t="s">
        <v>174</v>
      </c>
      <c r="C10" s="26" t="s">
        <v>175</v>
      </c>
      <c r="D10" s="27">
        <f>90+86+97+88</f>
        <v>361</v>
      </c>
      <c r="E10" s="27">
        <f>36+54+39+42</f>
        <v>171</v>
      </c>
      <c r="F10" s="27">
        <v>3</v>
      </c>
      <c r="G10" s="27">
        <v>7</v>
      </c>
      <c r="H10" s="41">
        <f t="shared" si="3"/>
        <v>532</v>
      </c>
      <c r="I10" s="218">
        <f t="shared" ref="I10" si="6">+H10+H11</f>
        <v>1096</v>
      </c>
      <c r="J10" s="222"/>
    </row>
    <row r="11" spans="1:10" ht="15.75" customHeight="1" x14ac:dyDescent="0.25">
      <c r="A11" s="55"/>
      <c r="B11" s="30" t="s">
        <v>155</v>
      </c>
      <c r="C11" s="30" t="s">
        <v>175</v>
      </c>
      <c r="D11" s="31">
        <f>81+99+93+98</f>
        <v>371</v>
      </c>
      <c r="E11" s="74">
        <f>53+45+41+54</f>
        <v>193</v>
      </c>
      <c r="F11" s="31">
        <v>4</v>
      </c>
      <c r="G11" s="31">
        <v>8</v>
      </c>
      <c r="H11" s="42">
        <f t="shared" si="3"/>
        <v>564</v>
      </c>
      <c r="I11" s="219"/>
      <c r="J11" s="223"/>
    </row>
    <row r="12" spans="1:10" x14ac:dyDescent="0.25">
      <c r="A12" s="57" t="s">
        <v>10</v>
      </c>
      <c r="B12" s="48" t="s">
        <v>86</v>
      </c>
      <c r="C12" s="124" t="s">
        <v>187</v>
      </c>
      <c r="D12" s="27">
        <f>94+89+85+92</f>
        <v>360</v>
      </c>
      <c r="E12" s="27">
        <f>34+45+35+42</f>
        <v>156</v>
      </c>
      <c r="F12" s="27">
        <v>4</v>
      </c>
      <c r="G12" s="27">
        <v>5</v>
      </c>
      <c r="H12" s="41">
        <f>+D12+E12</f>
        <v>516</v>
      </c>
      <c r="I12" s="218">
        <f t="shared" ref="I12" si="7">+H12+H13</f>
        <v>1059</v>
      </c>
      <c r="J12" s="221">
        <f>+I12+I14</f>
        <v>2216</v>
      </c>
    </row>
    <row r="13" spans="1:10" x14ac:dyDescent="0.25">
      <c r="A13" s="56"/>
      <c r="B13" s="48" t="s">
        <v>180</v>
      </c>
      <c r="C13" s="124" t="s">
        <v>187</v>
      </c>
      <c r="D13" s="27">
        <f>86+87+88+97</f>
        <v>358</v>
      </c>
      <c r="E13" s="27">
        <f>44+36+51+54</f>
        <v>185</v>
      </c>
      <c r="F13" s="27">
        <v>7</v>
      </c>
      <c r="G13" s="27">
        <v>10</v>
      </c>
      <c r="H13" s="41">
        <f>+D13+E13</f>
        <v>543</v>
      </c>
      <c r="I13" s="218"/>
      <c r="J13" s="222"/>
    </row>
    <row r="14" spans="1:10" x14ac:dyDescent="0.25">
      <c r="A14" s="56"/>
      <c r="B14" s="48" t="s">
        <v>87</v>
      </c>
      <c r="C14" s="124" t="s">
        <v>187</v>
      </c>
      <c r="D14" s="27">
        <f>95+98+84+85</f>
        <v>362</v>
      </c>
      <c r="E14" s="27">
        <f>44+57+51+44</f>
        <v>196</v>
      </c>
      <c r="F14" s="27">
        <v>3</v>
      </c>
      <c r="G14" s="27">
        <v>7</v>
      </c>
      <c r="H14" s="41">
        <f>+D14+E14</f>
        <v>558</v>
      </c>
      <c r="I14" s="218">
        <f t="shared" ref="I14" si="8">+H14+H15</f>
        <v>1157</v>
      </c>
      <c r="J14" s="222"/>
    </row>
    <row r="15" spans="1:10" x14ac:dyDescent="0.25">
      <c r="A15" s="55"/>
      <c r="B15" s="51" t="s">
        <v>88</v>
      </c>
      <c r="C15" s="129" t="s">
        <v>187</v>
      </c>
      <c r="D15" s="31">
        <f>95+117+92+91</f>
        <v>395</v>
      </c>
      <c r="E15" s="31">
        <f>54+71+43+36</f>
        <v>204</v>
      </c>
      <c r="F15" s="31">
        <v>2</v>
      </c>
      <c r="G15" s="31">
        <v>10</v>
      </c>
      <c r="H15" s="42">
        <f>+D15+E15</f>
        <v>599</v>
      </c>
      <c r="I15" s="219"/>
      <c r="J15" s="223"/>
    </row>
    <row r="16" spans="1:10" x14ac:dyDescent="0.25">
      <c r="A16" s="57" t="s">
        <v>11</v>
      </c>
      <c r="B16" s="48" t="s">
        <v>165</v>
      </c>
      <c r="C16" s="48" t="s">
        <v>171</v>
      </c>
      <c r="D16" s="27">
        <f>78+90+87+87</f>
        <v>342</v>
      </c>
      <c r="E16" s="27">
        <f>35+33+45+57</f>
        <v>170</v>
      </c>
      <c r="F16" s="27">
        <v>2</v>
      </c>
      <c r="G16" s="27">
        <v>4</v>
      </c>
      <c r="H16" s="41">
        <f t="shared" ref="H16:H19" si="9">+D16+E16</f>
        <v>512</v>
      </c>
      <c r="I16" s="218">
        <f t="shared" ref="I16" si="10">+H16+H17</f>
        <v>1054</v>
      </c>
      <c r="J16" s="221">
        <f>+I16+I18</f>
        <v>2211</v>
      </c>
    </row>
    <row r="17" spans="1:14" ht="15" customHeight="1" x14ac:dyDescent="0.25">
      <c r="A17" s="56"/>
      <c r="B17" s="48" t="s">
        <v>170</v>
      </c>
      <c r="C17" s="48" t="s">
        <v>171</v>
      </c>
      <c r="D17" s="27">
        <f>78+96+94+90</f>
        <v>358</v>
      </c>
      <c r="E17" s="27">
        <f>52+44+36+52</f>
        <v>184</v>
      </c>
      <c r="F17" s="27">
        <v>2</v>
      </c>
      <c r="G17" s="27">
        <v>5</v>
      </c>
      <c r="H17" s="41">
        <f t="shared" si="9"/>
        <v>542</v>
      </c>
      <c r="I17" s="218"/>
      <c r="J17" s="222"/>
    </row>
    <row r="18" spans="1:14" ht="15" customHeight="1" x14ac:dyDescent="0.25">
      <c r="A18" s="56"/>
      <c r="B18" s="48" t="s">
        <v>202</v>
      </c>
      <c r="C18" s="48" t="s">
        <v>171</v>
      </c>
      <c r="D18" s="27">
        <f>94+82+92+100</f>
        <v>368</v>
      </c>
      <c r="E18" s="27">
        <f>45+43+77+42</f>
        <v>207</v>
      </c>
      <c r="F18" s="27">
        <v>3</v>
      </c>
      <c r="G18" s="27">
        <v>10</v>
      </c>
      <c r="H18" s="41">
        <f t="shared" si="9"/>
        <v>575</v>
      </c>
      <c r="I18" s="218">
        <f t="shared" ref="I18" si="11">+H18+H19</f>
        <v>1157</v>
      </c>
      <c r="J18" s="222"/>
    </row>
    <row r="19" spans="1:14" ht="15" customHeight="1" x14ac:dyDescent="0.25">
      <c r="A19" s="55"/>
      <c r="B19" s="51" t="s">
        <v>114</v>
      </c>
      <c r="C19" s="51" t="s">
        <v>171</v>
      </c>
      <c r="D19" s="31">
        <f>100+92+87+83</f>
        <v>362</v>
      </c>
      <c r="E19" s="31">
        <f>51+61+45+63</f>
        <v>220</v>
      </c>
      <c r="F19" s="74">
        <v>3</v>
      </c>
      <c r="G19" s="31">
        <v>9</v>
      </c>
      <c r="H19" s="42">
        <f t="shared" si="9"/>
        <v>582</v>
      </c>
      <c r="I19" s="219"/>
      <c r="J19" s="223"/>
    </row>
    <row r="20" spans="1:14" ht="15.75" customHeight="1" x14ac:dyDescent="0.25">
      <c r="A20" s="57" t="s">
        <v>12</v>
      </c>
      <c r="B20" s="33" t="s">
        <v>59</v>
      </c>
      <c r="C20" s="33" t="s">
        <v>139</v>
      </c>
      <c r="D20" s="8">
        <f>97+94+87+102</f>
        <v>380</v>
      </c>
      <c r="E20" s="8">
        <f>62+51+45+54</f>
        <v>212</v>
      </c>
      <c r="F20" s="8">
        <v>1</v>
      </c>
      <c r="G20" s="8">
        <v>14</v>
      </c>
      <c r="H20" s="41">
        <f t="shared" ref="H20:H30" si="12">+D20+E20</f>
        <v>592</v>
      </c>
      <c r="I20" s="218">
        <f t="shared" ref="I20" si="13">+H20+H21</f>
        <v>1139</v>
      </c>
      <c r="J20" s="221">
        <f t="shared" ref="J20" si="14">+I20+I22</f>
        <v>2206</v>
      </c>
    </row>
    <row r="21" spans="1:14" ht="15" customHeight="1" x14ac:dyDescent="0.25">
      <c r="A21" s="56"/>
      <c r="B21" s="26" t="s">
        <v>60</v>
      </c>
      <c r="C21" s="26" t="s">
        <v>139</v>
      </c>
      <c r="D21" s="8">
        <f>92+94+94+97</f>
        <v>377</v>
      </c>
      <c r="E21" s="8">
        <f>43+39+34+54</f>
        <v>170</v>
      </c>
      <c r="F21" s="8">
        <v>8</v>
      </c>
      <c r="G21" s="8">
        <v>10</v>
      </c>
      <c r="H21" s="41">
        <f t="shared" si="12"/>
        <v>547</v>
      </c>
      <c r="I21" s="218"/>
      <c r="J21" s="222"/>
    </row>
    <row r="22" spans="1:14" ht="15" customHeight="1" x14ac:dyDescent="0.25">
      <c r="A22" s="56"/>
      <c r="B22" s="26" t="s">
        <v>61</v>
      </c>
      <c r="C22" s="26" t="s">
        <v>139</v>
      </c>
      <c r="D22" s="8">
        <f>89+85+93+94</f>
        <v>361</v>
      </c>
      <c r="E22" s="8">
        <f>44+36+43+52</f>
        <v>175</v>
      </c>
      <c r="F22" s="8">
        <v>11</v>
      </c>
      <c r="G22" s="8">
        <v>6</v>
      </c>
      <c r="H22" s="41">
        <f t="shared" si="12"/>
        <v>536</v>
      </c>
      <c r="I22" s="218">
        <f t="shared" ref="I22" si="15">+H22+H23</f>
        <v>1067</v>
      </c>
      <c r="J22" s="222"/>
    </row>
    <row r="23" spans="1:14" ht="15" customHeight="1" x14ac:dyDescent="0.25">
      <c r="A23" s="55"/>
      <c r="B23" s="30" t="s">
        <v>62</v>
      </c>
      <c r="C23" s="30" t="s">
        <v>139</v>
      </c>
      <c r="D23" s="8">
        <f>100+96+83+80</f>
        <v>359</v>
      </c>
      <c r="E23" s="8">
        <f>35+50+52+35</f>
        <v>172</v>
      </c>
      <c r="F23" s="8">
        <v>8</v>
      </c>
      <c r="G23" s="8">
        <v>5</v>
      </c>
      <c r="H23" s="42">
        <f t="shared" si="12"/>
        <v>531</v>
      </c>
      <c r="I23" s="219"/>
      <c r="J23" s="223"/>
    </row>
    <row r="24" spans="1:14" ht="15" customHeight="1" x14ac:dyDescent="0.25">
      <c r="A24" s="57" t="s">
        <v>13</v>
      </c>
      <c r="B24" s="26" t="s">
        <v>30</v>
      </c>
      <c r="C24" s="26" t="s">
        <v>129</v>
      </c>
      <c r="D24" s="35">
        <f>88+99+89+95</f>
        <v>371</v>
      </c>
      <c r="E24" s="35">
        <f>45+45+51+34</f>
        <v>175</v>
      </c>
      <c r="F24" s="35">
        <v>5</v>
      </c>
      <c r="G24" s="35">
        <v>8</v>
      </c>
      <c r="H24" s="43">
        <f t="shared" si="12"/>
        <v>546</v>
      </c>
      <c r="I24" s="224">
        <f>+H24+H25</f>
        <v>1103</v>
      </c>
      <c r="J24" s="221">
        <f t="shared" ref="J24" si="16">+I24+I26</f>
        <v>2177</v>
      </c>
    </row>
    <row r="25" spans="1:14" ht="15" customHeight="1" x14ac:dyDescent="0.25">
      <c r="A25" s="56"/>
      <c r="B25" s="26" t="s">
        <v>32</v>
      </c>
      <c r="C25" s="26" t="s">
        <v>129</v>
      </c>
      <c r="D25" s="27">
        <f>99+95+91+91</f>
        <v>376</v>
      </c>
      <c r="E25" s="27">
        <f>50+43+43+45</f>
        <v>181</v>
      </c>
      <c r="F25" s="27">
        <v>4</v>
      </c>
      <c r="G25" s="27">
        <v>10</v>
      </c>
      <c r="H25" s="41">
        <f t="shared" si="12"/>
        <v>557</v>
      </c>
      <c r="I25" s="218"/>
      <c r="J25" s="222"/>
    </row>
    <row r="26" spans="1:14" ht="15" customHeight="1" x14ac:dyDescent="0.25">
      <c r="A26" s="56"/>
      <c r="B26" s="26" t="s">
        <v>83</v>
      </c>
      <c r="C26" s="26" t="s">
        <v>129</v>
      </c>
      <c r="D26" s="27">
        <f>91+96+87+98</f>
        <v>372</v>
      </c>
      <c r="E26" s="27">
        <f>53+71+36+36</f>
        <v>196</v>
      </c>
      <c r="F26" s="27">
        <v>2</v>
      </c>
      <c r="G26" s="27">
        <v>10</v>
      </c>
      <c r="H26" s="41">
        <f t="shared" si="12"/>
        <v>568</v>
      </c>
      <c r="I26" s="218">
        <f>+H26+H27</f>
        <v>1074</v>
      </c>
      <c r="J26" s="222"/>
    </row>
    <row r="27" spans="1:14" ht="15" customHeight="1" x14ac:dyDescent="0.25">
      <c r="A27" s="55"/>
      <c r="B27" s="30" t="s">
        <v>84</v>
      </c>
      <c r="C27" s="30" t="s">
        <v>129</v>
      </c>
      <c r="D27" s="31">
        <f>93+100+88+85</f>
        <v>366</v>
      </c>
      <c r="E27" s="31">
        <f>36+26+36+42</f>
        <v>140</v>
      </c>
      <c r="F27" s="31">
        <v>5</v>
      </c>
      <c r="G27" s="31">
        <v>9</v>
      </c>
      <c r="H27" s="42">
        <f t="shared" si="12"/>
        <v>506</v>
      </c>
      <c r="I27" s="219"/>
      <c r="J27" s="223"/>
      <c r="N27" t="s">
        <v>144</v>
      </c>
    </row>
    <row r="28" spans="1:14" ht="15" customHeight="1" x14ac:dyDescent="0.25">
      <c r="A28" s="57" t="s">
        <v>39</v>
      </c>
      <c r="B28" s="33" t="s">
        <v>124</v>
      </c>
      <c r="C28" s="33" t="s">
        <v>127</v>
      </c>
      <c r="D28" s="8">
        <f>94+102+95+83</f>
        <v>374</v>
      </c>
      <c r="E28" s="8">
        <f>45+44+41+54</f>
        <v>184</v>
      </c>
      <c r="F28" s="8">
        <v>3</v>
      </c>
      <c r="G28" s="8">
        <v>13</v>
      </c>
      <c r="H28" s="40">
        <f t="shared" si="12"/>
        <v>558</v>
      </c>
      <c r="I28" s="224">
        <f>+H28+H29</f>
        <v>1090</v>
      </c>
      <c r="J28" s="221">
        <f>+I28+I30</f>
        <v>2160</v>
      </c>
    </row>
    <row r="29" spans="1:14" ht="15" customHeight="1" x14ac:dyDescent="0.25">
      <c r="A29" s="56"/>
      <c r="B29" t="s">
        <v>125</v>
      </c>
      <c r="C29" s="26" t="s">
        <v>127</v>
      </c>
      <c r="D29" s="8">
        <f>92+92+102+80</f>
        <v>366</v>
      </c>
      <c r="E29" s="8">
        <f>34+42+36+54</f>
        <v>166</v>
      </c>
      <c r="F29" s="8">
        <v>5</v>
      </c>
      <c r="G29" s="19">
        <v>6</v>
      </c>
      <c r="H29" s="40">
        <f t="shared" si="12"/>
        <v>532</v>
      </c>
      <c r="I29" s="225"/>
      <c r="J29" s="222"/>
    </row>
    <row r="30" spans="1:14" ht="15" customHeight="1" x14ac:dyDescent="0.25">
      <c r="A30" s="56"/>
      <c r="B30" t="s">
        <v>176</v>
      </c>
      <c r="C30" s="26" t="s">
        <v>127</v>
      </c>
      <c r="D30" s="8">
        <f>107+76+89+82</f>
        <v>354</v>
      </c>
      <c r="E30" s="8">
        <f>36+34+26+44</f>
        <v>140</v>
      </c>
      <c r="F30" s="8">
        <v>7</v>
      </c>
      <c r="G30" s="8">
        <v>7</v>
      </c>
      <c r="H30" s="40">
        <f t="shared" si="12"/>
        <v>494</v>
      </c>
      <c r="I30" s="225">
        <f>+H30+H31</f>
        <v>1070</v>
      </c>
      <c r="J30" s="222"/>
    </row>
    <row r="31" spans="1:14" ht="15" customHeight="1" x14ac:dyDescent="0.25">
      <c r="A31" s="55"/>
      <c r="B31" s="30" t="s">
        <v>99</v>
      </c>
      <c r="C31" s="30" t="s">
        <v>127</v>
      </c>
      <c r="D31" s="31">
        <f>98+97+88+100</f>
        <v>383</v>
      </c>
      <c r="E31" s="31">
        <f>42+63+34+54</f>
        <v>193</v>
      </c>
      <c r="F31" s="31">
        <v>5</v>
      </c>
      <c r="G31" s="31">
        <v>10</v>
      </c>
      <c r="H31" s="42">
        <f t="shared" ref="H31" si="17">+D31+E31</f>
        <v>576</v>
      </c>
      <c r="I31" s="219"/>
      <c r="J31" s="223"/>
    </row>
    <row r="32" spans="1:14" ht="15" customHeight="1" x14ac:dyDescent="0.25">
      <c r="A32" s="57" t="s">
        <v>40</v>
      </c>
      <c r="B32" s="33" t="s">
        <v>34</v>
      </c>
      <c r="C32" s="58" t="s">
        <v>101</v>
      </c>
      <c r="D32" s="35">
        <f>94+78+99+92</f>
        <v>363</v>
      </c>
      <c r="E32" s="35">
        <f>36+36+44+44</f>
        <v>160</v>
      </c>
      <c r="F32" s="35">
        <v>7</v>
      </c>
      <c r="G32" s="35">
        <v>9</v>
      </c>
      <c r="H32" s="43">
        <f t="shared" ref="H32:H35" si="18">+D32+E32</f>
        <v>523</v>
      </c>
      <c r="I32" s="224">
        <f>+H32+H33</f>
        <v>1034</v>
      </c>
      <c r="J32" s="221">
        <f>+I32+I34</f>
        <v>2078</v>
      </c>
    </row>
    <row r="33" spans="1:10" ht="15.75" customHeight="1" x14ac:dyDescent="0.25">
      <c r="A33" s="56"/>
      <c r="B33" s="26" t="s">
        <v>33</v>
      </c>
      <c r="C33" s="59" t="s">
        <v>101</v>
      </c>
      <c r="D33" s="27">
        <f>96+72+94+92</f>
        <v>354</v>
      </c>
      <c r="E33" s="27">
        <f>35+34+43+45</f>
        <v>157</v>
      </c>
      <c r="F33" s="27">
        <v>9</v>
      </c>
      <c r="G33" s="27">
        <v>8</v>
      </c>
      <c r="H33" s="41">
        <f t="shared" si="18"/>
        <v>511</v>
      </c>
      <c r="I33" s="218"/>
      <c r="J33" s="222"/>
    </row>
    <row r="34" spans="1:10" ht="15.75" customHeight="1" x14ac:dyDescent="0.25">
      <c r="A34" s="56"/>
      <c r="B34" s="26" t="s">
        <v>31</v>
      </c>
      <c r="C34" s="59" t="s">
        <v>101</v>
      </c>
      <c r="D34" s="28">
        <f>91+89+84+81</f>
        <v>345</v>
      </c>
      <c r="E34" s="27">
        <f>43+34+45+42</f>
        <v>164</v>
      </c>
      <c r="F34" s="27">
        <v>8</v>
      </c>
      <c r="G34" s="27">
        <v>6</v>
      </c>
      <c r="H34" s="41">
        <f t="shared" si="18"/>
        <v>509</v>
      </c>
      <c r="I34" s="218">
        <f>+H34+H35</f>
        <v>1044</v>
      </c>
      <c r="J34" s="222"/>
    </row>
    <row r="35" spans="1:10" ht="15.75" customHeight="1" x14ac:dyDescent="0.25">
      <c r="A35" s="55"/>
      <c r="B35" s="30" t="s">
        <v>204</v>
      </c>
      <c r="C35" s="60" t="s">
        <v>101</v>
      </c>
      <c r="D35" s="31">
        <f>90+96+92+102</f>
        <v>380</v>
      </c>
      <c r="E35" s="31">
        <f>33+45+34+43</f>
        <v>155</v>
      </c>
      <c r="F35" s="31">
        <v>8</v>
      </c>
      <c r="G35" s="31">
        <v>9</v>
      </c>
      <c r="H35" s="42">
        <f t="shared" si="18"/>
        <v>535</v>
      </c>
      <c r="I35" s="219"/>
      <c r="J35" s="223"/>
    </row>
    <row r="36" spans="1:10" ht="15.75" customHeight="1" x14ac:dyDescent="0.25">
      <c r="A36" s="57"/>
    </row>
    <row r="37" spans="1:10" ht="15.75" customHeight="1" x14ac:dyDescent="0.25">
      <c r="A37" s="56"/>
      <c r="B37" t="s">
        <v>87</v>
      </c>
      <c r="C37" s="124" t="s">
        <v>187</v>
      </c>
      <c r="D37" s="8">
        <f>92+86+111+94</f>
        <v>383</v>
      </c>
      <c r="E37" s="8">
        <f>61+45+41+53</f>
        <v>200</v>
      </c>
      <c r="F37" s="8">
        <v>4</v>
      </c>
      <c r="G37" s="8">
        <v>14</v>
      </c>
      <c r="H37" s="41">
        <f>+D37+E37</f>
        <v>583</v>
      </c>
    </row>
    <row r="38" spans="1:10" ht="15.75" customHeight="1" x14ac:dyDescent="0.25">
      <c r="A38" s="56"/>
      <c r="B38" t="s">
        <v>22</v>
      </c>
      <c r="C38" t="s">
        <v>100</v>
      </c>
      <c r="D38" s="8">
        <f>91+96+97+89</f>
        <v>373</v>
      </c>
      <c r="E38" s="8">
        <f>34+35+65+44</f>
        <v>178</v>
      </c>
      <c r="F38" s="8">
        <v>4</v>
      </c>
      <c r="G38" s="8">
        <v>5</v>
      </c>
      <c r="H38" s="41">
        <f>+D38+E38</f>
        <v>551</v>
      </c>
    </row>
    <row r="39" spans="1:10" ht="15.75" customHeight="1" x14ac:dyDescent="0.25">
      <c r="A39" s="56"/>
    </row>
    <row r="40" spans="1:10" ht="15" x14ac:dyDescent="0.25">
      <c r="C40" s="44" t="s">
        <v>98</v>
      </c>
      <c r="D40" s="37">
        <f>AVERAGE(D4:D39)</f>
        <v>371.52941176470586</v>
      </c>
      <c r="E40" s="37">
        <f t="shared" ref="E40:H40" si="19">AVERAGE(E4:E39)</f>
        <v>185.52941176470588</v>
      </c>
      <c r="F40" s="38">
        <f t="shared" si="19"/>
        <v>4.5</v>
      </c>
      <c r="G40" s="38">
        <f t="shared" si="19"/>
        <v>9.3235294117647065</v>
      </c>
      <c r="H40" s="37">
        <f t="shared" si="19"/>
        <v>557.05882352941171</v>
      </c>
    </row>
    <row r="54" spans="2:3" x14ac:dyDescent="0.25">
      <c r="B54" s="26"/>
      <c r="C54" s="26"/>
    </row>
    <row r="55" spans="2:3" x14ac:dyDescent="0.25">
      <c r="B55" s="75"/>
      <c r="C55" s="75"/>
    </row>
    <row r="56" spans="2:3" x14ac:dyDescent="0.25">
      <c r="B56" s="75"/>
      <c r="C56" s="75"/>
    </row>
    <row r="57" spans="2:3" x14ac:dyDescent="0.25">
      <c r="B57" s="75"/>
      <c r="C57" s="75"/>
    </row>
    <row r="58" spans="2:3" x14ac:dyDescent="0.25">
      <c r="B58" s="76"/>
      <c r="C58" s="76"/>
    </row>
  </sheetData>
  <mergeCells count="24">
    <mergeCell ref="I4:I5"/>
    <mergeCell ref="J4:J7"/>
    <mergeCell ref="I6:I7"/>
    <mergeCell ref="J28:J31"/>
    <mergeCell ref="I30:I31"/>
    <mergeCell ref="I12:I13"/>
    <mergeCell ref="J12:J15"/>
    <mergeCell ref="I14:I15"/>
    <mergeCell ref="I32:I33"/>
    <mergeCell ref="J32:J35"/>
    <mergeCell ref="I34:I35"/>
    <mergeCell ref="I8:I9"/>
    <mergeCell ref="I10:I11"/>
    <mergeCell ref="J8:J11"/>
    <mergeCell ref="I26:I27"/>
    <mergeCell ref="I24:I25"/>
    <mergeCell ref="J24:J27"/>
    <mergeCell ref="I20:I21"/>
    <mergeCell ref="I22:I23"/>
    <mergeCell ref="J20:J23"/>
    <mergeCell ref="I16:I17"/>
    <mergeCell ref="J16:J19"/>
    <mergeCell ref="I18:I19"/>
    <mergeCell ref="I28:I29"/>
  </mergeCells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2"/>
  <sheetViews>
    <sheetView topLeftCell="A25" zoomScaleNormal="100" workbookViewId="0">
      <selection activeCell="N32" sqref="N32"/>
    </sheetView>
  </sheetViews>
  <sheetFormatPr defaultRowHeight="18.75" x14ac:dyDescent="0.3"/>
  <cols>
    <col min="1" max="1" width="3" style="15" customWidth="1"/>
    <col min="2" max="2" width="19.7109375" customWidth="1"/>
    <col min="3" max="3" width="16.28515625" customWidth="1"/>
    <col min="4" max="4" width="5.5703125" style="8" customWidth="1"/>
    <col min="5" max="5" width="7" style="8" customWidth="1"/>
    <col min="6" max="6" width="3.7109375" style="8" customWidth="1"/>
    <col min="7" max="7" width="5.28515625" style="8" customWidth="1"/>
    <col min="8" max="8" width="5.7109375" style="12" customWidth="1"/>
    <col min="9" max="9" width="7.7109375" style="71" customWidth="1"/>
    <col min="10" max="10" width="6.85546875" style="63" customWidth="1"/>
    <col min="11" max="11" width="0.5703125" customWidth="1"/>
    <col min="12" max="12" width="3.5703125" customWidth="1"/>
  </cols>
  <sheetData>
    <row r="1" spans="1:12" x14ac:dyDescent="0.3">
      <c r="A1" s="16"/>
      <c r="B1" s="5" t="s">
        <v>220</v>
      </c>
      <c r="E1" s="9" t="s">
        <v>14</v>
      </c>
      <c r="F1" s="9"/>
      <c r="G1" s="7"/>
      <c r="H1" s="6" t="s">
        <v>8</v>
      </c>
    </row>
    <row r="2" spans="1:12" ht="6" customHeight="1" x14ac:dyDescent="0.3">
      <c r="A2" s="16"/>
    </row>
    <row r="3" spans="1:12" x14ac:dyDescent="0.3">
      <c r="A3" s="55"/>
      <c r="B3" s="53" t="s">
        <v>1</v>
      </c>
      <c r="C3" s="53" t="s">
        <v>2</v>
      </c>
      <c r="D3" s="53" t="s">
        <v>4</v>
      </c>
      <c r="E3" s="53" t="s">
        <v>5</v>
      </c>
      <c r="F3" s="53">
        <v>9</v>
      </c>
      <c r="G3" s="53" t="s">
        <v>6</v>
      </c>
      <c r="H3" s="77"/>
      <c r="I3" s="96"/>
    </row>
    <row r="4" spans="1:12" ht="15" customHeight="1" x14ac:dyDescent="0.25">
      <c r="A4" s="56" t="s">
        <v>0</v>
      </c>
      <c r="B4" s="26" t="s">
        <v>135</v>
      </c>
      <c r="C4" s="131" t="s">
        <v>131</v>
      </c>
      <c r="D4" s="8">
        <f>85+89+88+90</f>
        <v>352</v>
      </c>
      <c r="E4" s="8">
        <f>43+36+18+42</f>
        <v>139</v>
      </c>
      <c r="F4" s="8">
        <v>5</v>
      </c>
      <c r="G4" s="8">
        <v>11</v>
      </c>
      <c r="H4" s="36">
        <f t="shared" ref="H4:H7" si="0">+D4+E4</f>
        <v>491</v>
      </c>
      <c r="I4" s="238">
        <f t="shared" ref="I4" si="1">+H4+H5</f>
        <v>1025</v>
      </c>
      <c r="J4" s="221">
        <f>+I4+I6</f>
        <v>2095</v>
      </c>
    </row>
    <row r="5" spans="1:12" ht="15" customHeight="1" x14ac:dyDescent="0.25">
      <c r="A5" s="56"/>
      <c r="B5" s="26" t="s">
        <v>132</v>
      </c>
      <c r="C5" s="131" t="s">
        <v>131</v>
      </c>
      <c r="D5" s="8">
        <f>87+90+104+82</f>
        <v>363</v>
      </c>
      <c r="E5" s="8">
        <f>52+42+42+35</f>
        <v>171</v>
      </c>
      <c r="F5" s="8">
        <v>6</v>
      </c>
      <c r="G5" s="8">
        <v>7</v>
      </c>
      <c r="H5" s="36">
        <f t="shared" si="0"/>
        <v>534</v>
      </c>
      <c r="I5" s="238"/>
      <c r="J5" s="222"/>
    </row>
    <row r="6" spans="1:12" ht="15" customHeight="1" x14ac:dyDescent="0.25">
      <c r="A6" s="56"/>
      <c r="B6" s="48" t="s">
        <v>136</v>
      </c>
      <c r="C6" s="131" t="s">
        <v>131</v>
      </c>
      <c r="D6" s="8">
        <f>81+89+90+93</f>
        <v>353</v>
      </c>
      <c r="E6" s="8">
        <f>61+44+33+44</f>
        <v>182</v>
      </c>
      <c r="F6" s="8">
        <v>8</v>
      </c>
      <c r="G6" s="8">
        <v>8</v>
      </c>
      <c r="H6" s="36">
        <f t="shared" si="0"/>
        <v>535</v>
      </c>
      <c r="I6" s="238">
        <f t="shared" ref="I6" si="2">+H6+H7</f>
        <v>1070</v>
      </c>
      <c r="J6" s="222"/>
    </row>
    <row r="7" spans="1:12" ht="15" customHeight="1" x14ac:dyDescent="0.25">
      <c r="A7" s="55"/>
      <c r="B7" s="30" t="s">
        <v>137</v>
      </c>
      <c r="C7" s="132" t="s">
        <v>131</v>
      </c>
      <c r="D7" s="31">
        <f>92+89+93+89</f>
        <v>363</v>
      </c>
      <c r="E7" s="31">
        <f>59+45+26+42</f>
        <v>172</v>
      </c>
      <c r="F7" s="31">
        <v>12</v>
      </c>
      <c r="G7" s="31">
        <v>2</v>
      </c>
      <c r="H7" s="77">
        <f t="shared" si="0"/>
        <v>535</v>
      </c>
      <c r="I7" s="239"/>
      <c r="J7" s="223"/>
    </row>
    <row r="8" spans="1:12" ht="15" x14ac:dyDescent="0.25">
      <c r="A8" s="57" t="s">
        <v>9</v>
      </c>
      <c r="B8" s="33" t="s">
        <v>163</v>
      </c>
      <c r="C8" s="33" t="s">
        <v>161</v>
      </c>
      <c r="D8" s="35">
        <f>93+78+87+86</f>
        <v>344</v>
      </c>
      <c r="E8" s="35">
        <f>25+42+45+26</f>
        <v>138</v>
      </c>
      <c r="F8" s="35">
        <v>5</v>
      </c>
      <c r="G8" s="35">
        <v>14</v>
      </c>
      <c r="H8" s="36">
        <f>+D8+E8</f>
        <v>482</v>
      </c>
      <c r="I8" s="238">
        <f>+H8+H9</f>
        <v>999</v>
      </c>
      <c r="J8" s="221">
        <f>+I8+I10</f>
        <v>2046</v>
      </c>
    </row>
    <row r="9" spans="1:12" ht="15" x14ac:dyDescent="0.25">
      <c r="A9" s="56"/>
      <c r="B9" s="48" t="s">
        <v>223</v>
      </c>
      <c r="C9" s="26" t="s">
        <v>161</v>
      </c>
      <c r="D9" s="27">
        <f>96+102+88+105</f>
        <v>391</v>
      </c>
      <c r="E9" s="27">
        <f>34+26+35+31</f>
        <v>126</v>
      </c>
      <c r="F9" s="27">
        <v>5</v>
      </c>
      <c r="G9" s="27">
        <v>13</v>
      </c>
      <c r="H9" s="36">
        <f>+D9+E9</f>
        <v>517</v>
      </c>
      <c r="I9" s="238"/>
      <c r="J9" s="222"/>
      <c r="L9" s="50"/>
    </row>
    <row r="10" spans="1:12" ht="15" x14ac:dyDescent="0.25">
      <c r="A10" s="56"/>
      <c r="B10" s="26" t="s">
        <v>153</v>
      </c>
      <c r="C10" s="26" t="s">
        <v>161</v>
      </c>
      <c r="D10" s="27">
        <f>89+78+94+88</f>
        <v>349</v>
      </c>
      <c r="E10" s="27">
        <f>34+63+34+36</f>
        <v>167</v>
      </c>
      <c r="F10" s="27">
        <v>5</v>
      </c>
      <c r="G10" s="27">
        <v>8</v>
      </c>
      <c r="H10" s="36">
        <f t="shared" ref="H10:H11" si="3">+D10+E10</f>
        <v>516</v>
      </c>
      <c r="I10" s="238">
        <f>+H10+H11</f>
        <v>1047</v>
      </c>
      <c r="J10" s="222"/>
    </row>
    <row r="11" spans="1:12" ht="15" x14ac:dyDescent="0.25">
      <c r="A11" s="55"/>
      <c r="B11" s="30" t="s">
        <v>160</v>
      </c>
      <c r="C11" s="30" t="s">
        <v>161</v>
      </c>
      <c r="D11" s="31">
        <f>112+86+96+89</f>
        <v>383</v>
      </c>
      <c r="E11" s="31">
        <f>43+19+44+42</f>
        <v>148</v>
      </c>
      <c r="F11" s="31">
        <v>4</v>
      </c>
      <c r="G11" s="31">
        <v>8</v>
      </c>
      <c r="H11" s="77">
        <f t="shared" si="3"/>
        <v>531</v>
      </c>
      <c r="I11" s="239"/>
      <c r="J11" s="223"/>
    </row>
    <row r="12" spans="1:12" ht="15" x14ac:dyDescent="0.25">
      <c r="A12" s="57" t="s">
        <v>10</v>
      </c>
      <c r="B12" s="33" t="s">
        <v>24</v>
      </c>
      <c r="C12" s="130" t="s">
        <v>168</v>
      </c>
      <c r="D12" s="35">
        <f>97+86+79+97</f>
        <v>359</v>
      </c>
      <c r="E12" s="35">
        <f>36+26+36+16</f>
        <v>114</v>
      </c>
      <c r="F12" s="35">
        <v>5</v>
      </c>
      <c r="G12" s="35">
        <v>15</v>
      </c>
      <c r="H12" s="34">
        <f t="shared" ref="H12:H18" si="4">+D12+E12</f>
        <v>473</v>
      </c>
      <c r="I12" s="237">
        <f t="shared" ref="I12" si="5">+H12+H13</f>
        <v>994</v>
      </c>
      <c r="J12" s="221">
        <f>+I12+I14</f>
        <v>2006</v>
      </c>
    </row>
    <row r="13" spans="1:12" ht="15" x14ac:dyDescent="0.25">
      <c r="A13" s="56"/>
      <c r="B13" s="26" t="s">
        <v>25</v>
      </c>
      <c r="C13" s="131" t="s">
        <v>168</v>
      </c>
      <c r="D13" s="27">
        <f>88+110+100+74</f>
        <v>372</v>
      </c>
      <c r="E13" s="27">
        <f>36+43+27+43</f>
        <v>149</v>
      </c>
      <c r="F13" s="27">
        <v>10</v>
      </c>
      <c r="G13" s="27">
        <v>14</v>
      </c>
      <c r="H13" s="36">
        <f t="shared" si="4"/>
        <v>521</v>
      </c>
      <c r="I13" s="238"/>
      <c r="J13" s="222"/>
      <c r="L13" s="50"/>
    </row>
    <row r="14" spans="1:12" ht="15" x14ac:dyDescent="0.25">
      <c r="A14" s="56"/>
      <c r="B14" s="26" t="s">
        <v>115</v>
      </c>
      <c r="C14" s="131" t="s">
        <v>168</v>
      </c>
      <c r="D14" s="27">
        <f>94+79+100+85</f>
        <v>358</v>
      </c>
      <c r="E14" s="27">
        <f>35+44+34+54</f>
        <v>167</v>
      </c>
      <c r="F14" s="27">
        <v>4</v>
      </c>
      <c r="G14" s="27">
        <v>11</v>
      </c>
      <c r="H14" s="36">
        <f t="shared" si="4"/>
        <v>525</v>
      </c>
      <c r="I14" s="238">
        <f>+H14+H15</f>
        <v>1012</v>
      </c>
      <c r="J14" s="222"/>
    </row>
    <row r="15" spans="1:12" ht="15" x14ac:dyDescent="0.25">
      <c r="A15" s="55"/>
      <c r="B15" s="30" t="s">
        <v>169</v>
      </c>
      <c r="C15" s="132" t="s">
        <v>168</v>
      </c>
      <c r="D15" s="31">
        <f>91+84+82+89</f>
        <v>346</v>
      </c>
      <c r="E15" s="31">
        <f>26+44+35+36</f>
        <v>141</v>
      </c>
      <c r="F15" s="31">
        <v>5</v>
      </c>
      <c r="G15" s="31">
        <v>11</v>
      </c>
      <c r="H15" s="77">
        <f t="shared" si="4"/>
        <v>487</v>
      </c>
      <c r="I15" s="239"/>
      <c r="J15" s="223"/>
    </row>
    <row r="16" spans="1:12" ht="15" x14ac:dyDescent="0.25">
      <c r="A16" s="57" t="s">
        <v>11</v>
      </c>
      <c r="B16" s="33" t="s">
        <v>205</v>
      </c>
      <c r="C16" s="130" t="s">
        <v>168</v>
      </c>
      <c r="D16" s="35">
        <f>73+80+93+92</f>
        <v>338</v>
      </c>
      <c r="E16" s="35">
        <f>31+44+45+24</f>
        <v>144</v>
      </c>
      <c r="F16" s="35">
        <v>9</v>
      </c>
      <c r="G16" s="35">
        <v>5</v>
      </c>
      <c r="H16" s="34">
        <f t="shared" si="4"/>
        <v>482</v>
      </c>
      <c r="I16" s="237">
        <f>+H16+H17</f>
        <v>997</v>
      </c>
      <c r="J16" s="221">
        <f>+I16+I18</f>
        <v>1989</v>
      </c>
    </row>
    <row r="17" spans="1:11" ht="15" x14ac:dyDescent="0.25">
      <c r="A17" s="56"/>
      <c r="B17" s="26" t="s">
        <v>117</v>
      </c>
      <c r="C17" s="131" t="s">
        <v>168</v>
      </c>
      <c r="D17" s="27">
        <f>101+96+90+85</f>
        <v>372</v>
      </c>
      <c r="E17" s="27">
        <f>36+54+27+26</f>
        <v>143</v>
      </c>
      <c r="F17" s="27">
        <v>5</v>
      </c>
      <c r="G17" s="27">
        <v>9</v>
      </c>
      <c r="H17" s="36">
        <f t="shared" si="4"/>
        <v>515</v>
      </c>
      <c r="I17" s="238"/>
      <c r="J17" s="222"/>
      <c r="K17" s="21"/>
    </row>
    <row r="18" spans="1:11" ht="15" x14ac:dyDescent="0.25">
      <c r="A18" s="56"/>
      <c r="B18" s="26" t="s">
        <v>222</v>
      </c>
      <c r="C18" s="131" t="s">
        <v>168</v>
      </c>
      <c r="D18" s="27">
        <f>76+80+78+89</f>
        <v>323</v>
      </c>
      <c r="E18" s="27">
        <f>27+43+36+35</f>
        <v>141</v>
      </c>
      <c r="F18" s="27">
        <v>6</v>
      </c>
      <c r="G18" s="27">
        <v>17</v>
      </c>
      <c r="H18" s="36">
        <f t="shared" si="4"/>
        <v>464</v>
      </c>
      <c r="I18" s="238">
        <f>+H18+H19</f>
        <v>992</v>
      </c>
      <c r="J18" s="222"/>
      <c r="K18" s="21"/>
    </row>
    <row r="19" spans="1:11" ht="15" x14ac:dyDescent="0.25">
      <c r="A19" s="55"/>
      <c r="B19" s="26" t="s">
        <v>221</v>
      </c>
      <c r="C19" s="131" t="s">
        <v>168</v>
      </c>
      <c r="D19" s="27">
        <f>94+89+71+91</f>
        <v>345</v>
      </c>
      <c r="E19" s="27">
        <f>35+54+43+51</f>
        <v>183</v>
      </c>
      <c r="F19" s="27">
        <v>5</v>
      </c>
      <c r="G19" s="27">
        <v>6</v>
      </c>
      <c r="H19" s="77">
        <f t="shared" ref="H19" si="6">+D19+E19</f>
        <v>528</v>
      </c>
      <c r="I19" s="239"/>
      <c r="J19" s="223"/>
    </row>
    <row r="20" spans="1:11" ht="15" x14ac:dyDescent="0.25">
      <c r="A20" s="57" t="s">
        <v>12</v>
      </c>
      <c r="B20" s="33" t="s">
        <v>64</v>
      </c>
      <c r="C20" s="33" t="s">
        <v>63</v>
      </c>
      <c r="D20" s="35">
        <f>85+91+77+76</f>
        <v>329</v>
      </c>
      <c r="E20" s="35">
        <f>34+24+26+45</f>
        <v>129</v>
      </c>
      <c r="F20" s="35">
        <v>4</v>
      </c>
      <c r="G20" s="35">
        <v>16</v>
      </c>
      <c r="H20" s="34">
        <f t="shared" ref="H20:H31" si="7">+D20+E20</f>
        <v>458</v>
      </c>
      <c r="I20" s="237">
        <f t="shared" ref="I20" si="8">+H20+H21</f>
        <v>948</v>
      </c>
      <c r="J20" s="221">
        <f>+I20+I22</f>
        <v>1982</v>
      </c>
    </row>
    <row r="21" spans="1:11" ht="15" x14ac:dyDescent="0.25">
      <c r="A21" s="56"/>
      <c r="B21" s="48" t="s">
        <v>177</v>
      </c>
      <c r="C21" s="26" t="s">
        <v>63</v>
      </c>
      <c r="D21" s="27">
        <f>81+89+80+80</f>
        <v>330</v>
      </c>
      <c r="E21" s="27">
        <f>44+33+45+38</f>
        <v>160</v>
      </c>
      <c r="F21" s="27">
        <v>6</v>
      </c>
      <c r="G21" s="27">
        <v>10</v>
      </c>
      <c r="H21" s="36">
        <f t="shared" si="7"/>
        <v>490</v>
      </c>
      <c r="I21" s="238"/>
      <c r="J21" s="222"/>
    </row>
    <row r="22" spans="1:11" ht="15" x14ac:dyDescent="0.25">
      <c r="A22" s="56"/>
      <c r="B22" s="26" t="s">
        <v>65</v>
      </c>
      <c r="C22" s="26" t="s">
        <v>63</v>
      </c>
      <c r="D22" s="27">
        <f>91+92+78+86</f>
        <v>347</v>
      </c>
      <c r="E22" s="27">
        <f>32+33+52+52</f>
        <v>169</v>
      </c>
      <c r="F22" s="27">
        <v>7</v>
      </c>
      <c r="G22" s="27">
        <v>13</v>
      </c>
      <c r="H22" s="36">
        <f t="shared" si="7"/>
        <v>516</v>
      </c>
      <c r="I22" s="238">
        <f t="shared" ref="I22" si="9">+H22+H23</f>
        <v>1034</v>
      </c>
      <c r="J22" s="222"/>
    </row>
    <row r="23" spans="1:11" ht="15" x14ac:dyDescent="0.25">
      <c r="A23" s="55"/>
      <c r="B23" s="30" t="s">
        <v>178</v>
      </c>
      <c r="C23" s="30" t="s">
        <v>63</v>
      </c>
      <c r="D23" s="31">
        <f>87+103+92+84</f>
        <v>366</v>
      </c>
      <c r="E23" s="31">
        <f>43+29+45+35</f>
        <v>152</v>
      </c>
      <c r="F23" s="31">
        <v>8</v>
      </c>
      <c r="G23" s="31">
        <v>10</v>
      </c>
      <c r="H23" s="77">
        <f t="shared" si="7"/>
        <v>518</v>
      </c>
      <c r="I23" s="239"/>
      <c r="J23" s="223"/>
    </row>
    <row r="24" spans="1:11" ht="15" x14ac:dyDescent="0.25">
      <c r="A24" s="57" t="s">
        <v>13</v>
      </c>
      <c r="B24" s="33" t="s">
        <v>172</v>
      </c>
      <c r="C24" s="33" t="s">
        <v>211</v>
      </c>
      <c r="D24" s="35">
        <f>68+78+76+81</f>
        <v>303</v>
      </c>
      <c r="E24" s="35">
        <f>36+22+48+35</f>
        <v>141</v>
      </c>
      <c r="F24" s="35">
        <v>3</v>
      </c>
      <c r="G24" s="35">
        <v>15</v>
      </c>
      <c r="H24" s="36">
        <f t="shared" si="7"/>
        <v>444</v>
      </c>
      <c r="I24" s="237">
        <f>+H24+H25</f>
        <v>933</v>
      </c>
      <c r="J24" s="221">
        <f>+I24+I26</f>
        <v>1919</v>
      </c>
    </row>
    <row r="25" spans="1:11" ht="15" x14ac:dyDescent="0.25">
      <c r="A25" s="56"/>
      <c r="B25" s="48" t="s">
        <v>213</v>
      </c>
      <c r="C25" s="26" t="s">
        <v>211</v>
      </c>
      <c r="D25" s="27">
        <f>80+62+93+84</f>
        <v>319</v>
      </c>
      <c r="E25" s="27">
        <f>43+42+43+42</f>
        <v>170</v>
      </c>
      <c r="F25" s="27">
        <v>6</v>
      </c>
      <c r="G25" s="27">
        <v>5</v>
      </c>
      <c r="H25" s="36">
        <f t="shared" si="7"/>
        <v>489</v>
      </c>
      <c r="I25" s="238"/>
      <c r="J25" s="222"/>
    </row>
    <row r="26" spans="1:11" ht="15" x14ac:dyDescent="0.25">
      <c r="A26" s="56"/>
      <c r="B26" s="26" t="s">
        <v>214</v>
      </c>
      <c r="C26" s="26" t="s">
        <v>211</v>
      </c>
      <c r="D26" s="27">
        <f>91+79+90+85</f>
        <v>345</v>
      </c>
      <c r="E26" s="27">
        <f>45+36+33+30</f>
        <v>144</v>
      </c>
      <c r="F26" s="27">
        <v>2</v>
      </c>
      <c r="G26" s="27">
        <v>14</v>
      </c>
      <c r="H26" s="36">
        <f t="shared" si="7"/>
        <v>489</v>
      </c>
      <c r="I26" s="238">
        <f>+H26+H27</f>
        <v>986</v>
      </c>
      <c r="J26" s="222"/>
    </row>
    <row r="27" spans="1:11" ht="15" x14ac:dyDescent="0.25">
      <c r="A27" s="55"/>
      <c r="B27" s="30" t="s">
        <v>215</v>
      </c>
      <c r="C27" s="30" t="s">
        <v>211</v>
      </c>
      <c r="D27" s="31">
        <f>87+73+88+93</f>
        <v>341</v>
      </c>
      <c r="E27" s="31">
        <f>36+26+50+44</f>
        <v>156</v>
      </c>
      <c r="F27" s="31">
        <v>3</v>
      </c>
      <c r="G27" s="31">
        <v>10</v>
      </c>
      <c r="H27" s="77">
        <f t="shared" si="7"/>
        <v>497</v>
      </c>
      <c r="I27" s="239"/>
      <c r="J27" s="223"/>
    </row>
    <row r="28" spans="1:11" ht="15" customHeight="1" x14ac:dyDescent="0.25">
      <c r="A28" s="57" t="s">
        <v>39</v>
      </c>
      <c r="B28" s="48" t="s">
        <v>225</v>
      </c>
      <c r="C28" s="26" t="s">
        <v>118</v>
      </c>
      <c r="D28" s="35">
        <f>65+64+80+76</f>
        <v>285</v>
      </c>
      <c r="E28" s="35">
        <f>36+25+54+25</f>
        <v>140</v>
      </c>
      <c r="F28" s="35">
        <v>3</v>
      </c>
      <c r="G28" s="35">
        <v>11</v>
      </c>
      <c r="H28" s="36">
        <f t="shared" si="7"/>
        <v>425</v>
      </c>
      <c r="I28" s="237">
        <f>+H28+H29</f>
        <v>932</v>
      </c>
      <c r="J28" s="221">
        <f>+I28+I30</f>
        <v>1883</v>
      </c>
    </row>
    <row r="29" spans="1:11" ht="15" customHeight="1" x14ac:dyDescent="0.25">
      <c r="A29" s="61"/>
      <c r="B29" s="26" t="s">
        <v>226</v>
      </c>
      <c r="C29" s="26" t="s">
        <v>118</v>
      </c>
      <c r="D29" s="27">
        <f>106+83+83+93</f>
        <v>365</v>
      </c>
      <c r="E29" s="27">
        <f>36+27+52+27</f>
        <v>142</v>
      </c>
      <c r="F29" s="27">
        <v>4</v>
      </c>
      <c r="G29" s="27">
        <v>13</v>
      </c>
      <c r="H29" s="36">
        <f t="shared" si="7"/>
        <v>507</v>
      </c>
      <c r="I29" s="238"/>
      <c r="J29" s="222"/>
    </row>
    <row r="30" spans="1:11" ht="15" customHeight="1" x14ac:dyDescent="0.25">
      <c r="A30" s="61"/>
      <c r="B30" t="s">
        <v>189</v>
      </c>
      <c r="C30" s="26" t="s">
        <v>118</v>
      </c>
      <c r="D30" s="27">
        <f>83+80+77+87</f>
        <v>327</v>
      </c>
      <c r="E30" s="27">
        <f>35+26+25+25</f>
        <v>111</v>
      </c>
      <c r="F30" s="27">
        <v>1</v>
      </c>
      <c r="G30" s="27">
        <v>16</v>
      </c>
      <c r="H30" s="36">
        <f t="shared" si="7"/>
        <v>438</v>
      </c>
      <c r="I30" s="238">
        <f>+H30+H31</f>
        <v>951</v>
      </c>
      <c r="J30" s="222"/>
    </row>
    <row r="31" spans="1:11" ht="15" customHeight="1" x14ac:dyDescent="0.25">
      <c r="A31" s="62"/>
      <c r="B31" s="30" t="s">
        <v>227</v>
      </c>
      <c r="C31" s="30" t="s">
        <v>118</v>
      </c>
      <c r="D31" s="31">
        <f>85+80+98+88</f>
        <v>351</v>
      </c>
      <c r="E31" s="31">
        <f>43+26+35+58</f>
        <v>162</v>
      </c>
      <c r="F31" s="31">
        <v>7</v>
      </c>
      <c r="G31" s="31">
        <v>6</v>
      </c>
      <c r="H31" s="77">
        <f t="shared" si="7"/>
        <v>513</v>
      </c>
      <c r="I31" s="239"/>
      <c r="J31" s="223"/>
    </row>
    <row r="32" spans="1:11" ht="15" customHeight="1" x14ac:dyDescent="0.25">
      <c r="A32" s="16" t="s">
        <v>40</v>
      </c>
      <c r="B32" s="33" t="s">
        <v>206</v>
      </c>
      <c r="C32" s="33" t="s">
        <v>207</v>
      </c>
      <c r="D32" s="8">
        <f>80+90+84+74</f>
        <v>328</v>
      </c>
      <c r="E32" s="8">
        <f>26+35+62+25</f>
        <v>148</v>
      </c>
      <c r="F32" s="8">
        <v>3</v>
      </c>
      <c r="G32" s="8">
        <v>15</v>
      </c>
      <c r="H32" s="36">
        <f t="shared" ref="H32:H35" si="10">+D32+E32</f>
        <v>476</v>
      </c>
      <c r="I32" s="238">
        <f>+H32+H33</f>
        <v>953</v>
      </c>
      <c r="J32" s="221">
        <f>+I32+I34</f>
        <v>1849</v>
      </c>
    </row>
    <row r="33" spans="1:10" ht="15" customHeight="1" x14ac:dyDescent="0.25">
      <c r="B33" s="48" t="s">
        <v>208</v>
      </c>
      <c r="C33" s="26" t="s">
        <v>207</v>
      </c>
      <c r="D33" s="8">
        <f>91+77+87+86</f>
        <v>341</v>
      </c>
      <c r="E33" s="8">
        <f>32+33+36+35</f>
        <v>136</v>
      </c>
      <c r="F33" s="8">
        <v>6</v>
      </c>
      <c r="G33" s="8">
        <v>15</v>
      </c>
      <c r="H33" s="36">
        <f t="shared" si="10"/>
        <v>477</v>
      </c>
      <c r="I33" s="238"/>
      <c r="J33" s="222"/>
    </row>
    <row r="34" spans="1:10" ht="15" customHeight="1" x14ac:dyDescent="0.25">
      <c r="B34" s="26" t="s">
        <v>209</v>
      </c>
      <c r="C34" s="26" t="s">
        <v>207</v>
      </c>
      <c r="D34" s="27">
        <f>84+80+83+76</f>
        <v>323</v>
      </c>
      <c r="E34" s="27">
        <f>27+34+34+25</f>
        <v>120</v>
      </c>
      <c r="F34" s="27">
        <v>2</v>
      </c>
      <c r="G34" s="27">
        <v>12</v>
      </c>
      <c r="H34" s="36">
        <f t="shared" si="10"/>
        <v>443</v>
      </c>
      <c r="I34" s="238">
        <f>+H34+H35</f>
        <v>896</v>
      </c>
      <c r="J34" s="222"/>
    </row>
    <row r="35" spans="1:10" ht="15" customHeight="1" x14ac:dyDescent="0.25">
      <c r="A35" s="62"/>
      <c r="B35" s="30" t="s">
        <v>210</v>
      </c>
      <c r="C35" s="30" t="s">
        <v>207</v>
      </c>
      <c r="D35" s="31">
        <f>84+72+74+82</f>
        <v>312</v>
      </c>
      <c r="E35" s="31">
        <f>26+35+36+44</f>
        <v>141</v>
      </c>
      <c r="F35" s="31">
        <v>5</v>
      </c>
      <c r="G35" s="31">
        <v>20</v>
      </c>
      <c r="H35" s="77">
        <f t="shared" si="10"/>
        <v>453</v>
      </c>
      <c r="I35" s="239"/>
      <c r="J35" s="223"/>
    </row>
    <row r="36" spans="1:10" ht="15" customHeight="1" x14ac:dyDescent="0.25">
      <c r="A36" s="56" t="s">
        <v>41</v>
      </c>
      <c r="B36" s="48" t="s">
        <v>17</v>
      </c>
      <c r="C36" s="26" t="s">
        <v>18</v>
      </c>
      <c r="D36" s="27">
        <f>86+90+82+94</f>
        <v>352</v>
      </c>
      <c r="E36" s="28">
        <f>34+26+27+44</f>
        <v>131</v>
      </c>
      <c r="F36" s="27">
        <v>6</v>
      </c>
      <c r="G36" s="28">
        <v>14</v>
      </c>
      <c r="H36" s="36">
        <f>+D36+E36</f>
        <v>483</v>
      </c>
      <c r="I36" s="238">
        <f>+H36+H37</f>
        <v>483</v>
      </c>
      <c r="J36" s="222">
        <f>+I36+I38</f>
        <v>1592</v>
      </c>
    </row>
    <row r="37" spans="1:10" ht="15" customHeight="1" x14ac:dyDescent="0.25">
      <c r="A37" s="56"/>
      <c r="C37" s="26" t="s">
        <v>18</v>
      </c>
      <c r="D37" s="27"/>
      <c r="E37" s="27"/>
      <c r="F37" s="27"/>
      <c r="G37" s="27"/>
      <c r="H37" s="36"/>
      <c r="I37" s="238"/>
      <c r="J37" s="222"/>
    </row>
    <row r="38" spans="1:10" ht="15" customHeight="1" x14ac:dyDescent="0.25">
      <c r="A38" s="61"/>
      <c r="B38" s="26" t="s">
        <v>21</v>
      </c>
      <c r="C38" t="s">
        <v>18</v>
      </c>
      <c r="D38" s="27">
        <f>94+89+93+82</f>
        <v>358</v>
      </c>
      <c r="E38" s="27">
        <f>54+45+34+51</f>
        <v>184</v>
      </c>
      <c r="F38" s="27">
        <v>6</v>
      </c>
      <c r="G38" s="27">
        <v>2</v>
      </c>
      <c r="H38" s="36">
        <f>+D38+E38</f>
        <v>542</v>
      </c>
      <c r="I38" s="238">
        <f>+H38+H39</f>
        <v>1109</v>
      </c>
      <c r="J38" s="222"/>
    </row>
    <row r="39" spans="1:10" ht="15" customHeight="1" x14ac:dyDescent="0.25">
      <c r="A39" s="62"/>
      <c r="B39" s="30" t="s">
        <v>23</v>
      </c>
      <c r="C39" s="30" t="s">
        <v>18</v>
      </c>
      <c r="D39" s="31">
        <f>100+96+107+82</f>
        <v>385</v>
      </c>
      <c r="E39" s="31">
        <f>36+45+42+59</f>
        <v>182</v>
      </c>
      <c r="F39" s="31">
        <v>7</v>
      </c>
      <c r="G39" s="31">
        <v>6</v>
      </c>
      <c r="H39" s="77">
        <f>+D39+E39</f>
        <v>567</v>
      </c>
      <c r="I39" s="239"/>
      <c r="J39" s="223"/>
    </row>
    <row r="40" spans="1:10" ht="15" customHeight="1" x14ac:dyDescent="0.25">
      <c r="A40" s="61" t="s">
        <v>42</v>
      </c>
      <c r="B40" s="48" t="s">
        <v>164</v>
      </c>
      <c r="C40" s="124" t="s">
        <v>133</v>
      </c>
      <c r="D40" s="27">
        <f>78+74+68+68</f>
        <v>288</v>
      </c>
      <c r="E40" s="27">
        <f>26+26+34+27</f>
        <v>113</v>
      </c>
      <c r="F40" s="27">
        <v>4</v>
      </c>
      <c r="G40" s="27">
        <v>20</v>
      </c>
      <c r="H40" s="36">
        <f>+D40+E40</f>
        <v>401</v>
      </c>
      <c r="I40" s="237">
        <f>+H40+H41</f>
        <v>401</v>
      </c>
      <c r="J40" s="221">
        <f>+I40+I42</f>
        <v>1394</v>
      </c>
    </row>
    <row r="41" spans="1:10" ht="15" customHeight="1" x14ac:dyDescent="0.25">
      <c r="A41" s="61"/>
      <c r="B41" s="48"/>
      <c r="C41" s="124" t="s">
        <v>133</v>
      </c>
      <c r="D41" s="27"/>
      <c r="E41" s="27"/>
      <c r="F41" s="27"/>
      <c r="G41" s="27"/>
      <c r="H41" s="36"/>
      <c r="I41" s="238"/>
      <c r="J41" s="222"/>
    </row>
    <row r="42" spans="1:10" ht="15" customHeight="1" x14ac:dyDescent="0.25">
      <c r="A42" s="61"/>
      <c r="B42" s="48" t="s">
        <v>154</v>
      </c>
      <c r="C42" s="124" t="s">
        <v>133</v>
      </c>
      <c r="D42" s="27">
        <f>79+100+72+74</f>
        <v>325</v>
      </c>
      <c r="E42" s="27">
        <f>36+27+35+34</f>
        <v>132</v>
      </c>
      <c r="F42" s="27">
        <v>9</v>
      </c>
      <c r="G42" s="27">
        <v>16</v>
      </c>
      <c r="H42" s="36">
        <f>+D42+E42</f>
        <v>457</v>
      </c>
      <c r="I42" s="238">
        <f>+H42+H43</f>
        <v>993</v>
      </c>
      <c r="J42" s="222"/>
    </row>
    <row r="43" spans="1:10" ht="15" x14ac:dyDescent="0.25">
      <c r="A43" s="62"/>
      <c r="B43" s="51" t="s">
        <v>130</v>
      </c>
      <c r="C43" s="129" t="s">
        <v>133</v>
      </c>
      <c r="D43" s="31">
        <f>96+93+85+96</f>
        <v>370</v>
      </c>
      <c r="E43" s="31">
        <f>34+63+34+35</f>
        <v>166</v>
      </c>
      <c r="F43" s="31">
        <v>7</v>
      </c>
      <c r="G43" s="31">
        <v>7</v>
      </c>
      <c r="H43" s="77">
        <f>+D43+E43</f>
        <v>536</v>
      </c>
      <c r="I43" s="239"/>
      <c r="J43" s="223"/>
    </row>
    <row r="44" spans="1:10" x14ac:dyDescent="0.3">
      <c r="C44" s="44" t="s">
        <v>98</v>
      </c>
      <c r="D44" s="37">
        <f>AVERAGE(D4:D43)</f>
        <v>344.76315789473682</v>
      </c>
      <c r="E44" s="37">
        <f t="shared" ref="E44:H44" si="11">AVERAGE(E4:E43)</f>
        <v>148.78947368421052</v>
      </c>
      <c r="F44" s="38">
        <f t="shared" si="11"/>
        <v>5.4736842105263159</v>
      </c>
      <c r="G44" s="38">
        <f t="shared" si="11"/>
        <v>11.184210526315789</v>
      </c>
      <c r="H44" s="37">
        <f t="shared" si="11"/>
        <v>493.55263157894734</v>
      </c>
    </row>
    <row r="49" spans="11:11" x14ac:dyDescent="0.3">
      <c r="K49" s="235"/>
    </row>
    <row r="50" spans="11:11" x14ac:dyDescent="0.3">
      <c r="K50" s="235"/>
    </row>
    <row r="51" spans="11:11" x14ac:dyDescent="0.3">
      <c r="K51" s="235"/>
    </row>
    <row r="52" spans="11:11" x14ac:dyDescent="0.3">
      <c r="K52" s="235"/>
    </row>
  </sheetData>
  <mergeCells count="31">
    <mergeCell ref="I4:I5"/>
    <mergeCell ref="J4:J7"/>
    <mergeCell ref="I6:I7"/>
    <mergeCell ref="I20:I21"/>
    <mergeCell ref="J20:J23"/>
    <mergeCell ref="I22:I23"/>
    <mergeCell ref="I42:I43"/>
    <mergeCell ref="J8:J11"/>
    <mergeCell ref="I10:I11"/>
    <mergeCell ref="I16:I17"/>
    <mergeCell ref="J16:J19"/>
    <mergeCell ref="I18:I19"/>
    <mergeCell ref="I8:I9"/>
    <mergeCell ref="J24:J27"/>
    <mergeCell ref="I26:I27"/>
    <mergeCell ref="K49:K52"/>
    <mergeCell ref="I28:I29"/>
    <mergeCell ref="J28:J31"/>
    <mergeCell ref="I30:I31"/>
    <mergeCell ref="I12:I13"/>
    <mergeCell ref="J12:J15"/>
    <mergeCell ref="I14:I15"/>
    <mergeCell ref="I36:I37"/>
    <mergeCell ref="J36:J39"/>
    <mergeCell ref="I38:I39"/>
    <mergeCell ref="I32:I33"/>
    <mergeCell ref="I34:I35"/>
    <mergeCell ref="J32:J35"/>
    <mergeCell ref="I24:I25"/>
    <mergeCell ref="I40:I41"/>
    <mergeCell ref="J40:J43"/>
  </mergeCells>
  <pageMargins left="0.7" right="0.7" top="0.75" bottom="0.75" header="0.3" footer="0.3"/>
  <pageSetup paperSize="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workbookViewId="0">
      <selection activeCell="N13" sqref="N13"/>
    </sheetView>
  </sheetViews>
  <sheetFormatPr defaultRowHeight="15" x14ac:dyDescent="0.25"/>
  <cols>
    <col min="1" max="1" width="3.140625" customWidth="1"/>
    <col min="2" max="2" width="21" customWidth="1"/>
    <col min="3" max="3" width="14.85546875" customWidth="1"/>
    <col min="4" max="4" width="5.5703125" customWidth="1"/>
    <col min="5" max="5" width="6.42578125" style="8" customWidth="1"/>
    <col min="6" max="6" width="4.140625" style="8" customWidth="1"/>
    <col min="7" max="7" width="4.5703125" style="8" customWidth="1"/>
    <col min="8" max="8" width="5.7109375" style="2" customWidth="1"/>
    <col min="9" max="9" width="5.85546875" customWidth="1"/>
    <col min="10" max="10" width="8.140625" customWidth="1"/>
  </cols>
  <sheetData>
    <row r="1" spans="1:10" ht="15.75" x14ac:dyDescent="0.25">
      <c r="A1" s="2"/>
      <c r="B1" s="122" t="s">
        <v>220</v>
      </c>
      <c r="E1" s="7" t="s">
        <v>14</v>
      </c>
      <c r="F1" s="7"/>
      <c r="G1" s="7"/>
      <c r="H1" s="7" t="s">
        <v>15</v>
      </c>
    </row>
    <row r="2" spans="1:10" ht="6.75" customHeight="1" x14ac:dyDescent="0.25">
      <c r="A2" s="2"/>
    </row>
    <row r="3" spans="1:10" x14ac:dyDescent="0.25">
      <c r="A3" s="29"/>
      <c r="B3" s="53" t="s">
        <v>1</v>
      </c>
      <c r="C3" s="53" t="s">
        <v>2</v>
      </c>
      <c r="D3" s="53" t="s">
        <v>4</v>
      </c>
      <c r="E3" s="53" t="s">
        <v>5</v>
      </c>
      <c r="F3" s="53">
        <v>9</v>
      </c>
      <c r="G3" s="53" t="s">
        <v>6</v>
      </c>
      <c r="H3" s="29"/>
      <c r="I3" s="30"/>
      <c r="J3" s="30"/>
    </row>
    <row r="4" spans="1:10" x14ac:dyDescent="0.25">
      <c r="A4" s="25" t="s">
        <v>0</v>
      </c>
      <c r="B4" s="33" t="s">
        <v>193</v>
      </c>
      <c r="C4" s="33" t="s">
        <v>192</v>
      </c>
      <c r="D4" s="35">
        <f>84+85+92+83</f>
        <v>344</v>
      </c>
      <c r="E4" s="35">
        <f>26+25+36+16</f>
        <v>103</v>
      </c>
      <c r="F4" s="35">
        <v>4</v>
      </c>
      <c r="G4" s="35">
        <v>23</v>
      </c>
      <c r="H4" s="32">
        <f t="shared" ref="H4:H9" si="0">+D4+E4</f>
        <v>447</v>
      </c>
      <c r="I4" s="224">
        <f>+H4+H5</f>
        <v>972</v>
      </c>
      <c r="J4" s="221">
        <f>+I4+I6</f>
        <v>2006</v>
      </c>
    </row>
    <row r="5" spans="1:10" x14ac:dyDescent="0.25">
      <c r="A5" s="25"/>
      <c r="B5" s="26" t="s">
        <v>194</v>
      </c>
      <c r="C5" s="26" t="s">
        <v>192</v>
      </c>
      <c r="D5" s="27">
        <f>83+82+87+98</f>
        <v>350</v>
      </c>
      <c r="E5" s="27">
        <f>51+35+45+44</f>
        <v>175</v>
      </c>
      <c r="F5" s="27">
        <v>5</v>
      </c>
      <c r="G5" s="27">
        <v>7</v>
      </c>
      <c r="H5" s="25">
        <f t="shared" si="0"/>
        <v>525</v>
      </c>
      <c r="I5" s="218"/>
      <c r="J5" s="222"/>
    </row>
    <row r="6" spans="1:10" x14ac:dyDescent="0.25">
      <c r="A6" s="25"/>
      <c r="B6" s="48" t="s">
        <v>195</v>
      </c>
      <c r="C6" s="26" t="s">
        <v>192</v>
      </c>
      <c r="D6" s="28">
        <f>82+84+90+95</f>
        <v>351</v>
      </c>
      <c r="E6" s="27">
        <f>27+36+52+45</f>
        <v>160</v>
      </c>
      <c r="F6" s="27">
        <v>9</v>
      </c>
      <c r="G6" s="27">
        <v>15</v>
      </c>
      <c r="H6" s="25">
        <f t="shared" si="0"/>
        <v>511</v>
      </c>
      <c r="I6" s="218">
        <f>+H6+H7</f>
        <v>1034</v>
      </c>
      <c r="J6" s="222"/>
    </row>
    <row r="7" spans="1:10" x14ac:dyDescent="0.25">
      <c r="A7" s="29"/>
      <c r="B7" s="30" t="s">
        <v>196</v>
      </c>
      <c r="C7" s="30" t="s">
        <v>192</v>
      </c>
      <c r="D7" s="31">
        <f>96+99+95+91</f>
        <v>381</v>
      </c>
      <c r="E7" s="31">
        <f>45+36+36+25</f>
        <v>142</v>
      </c>
      <c r="F7" s="31">
        <v>5</v>
      </c>
      <c r="G7" s="74">
        <v>13</v>
      </c>
      <c r="H7" s="29">
        <f t="shared" si="0"/>
        <v>523</v>
      </c>
      <c r="I7" s="219"/>
      <c r="J7" s="223"/>
    </row>
    <row r="8" spans="1:10" ht="15" customHeight="1" x14ac:dyDescent="0.25">
      <c r="A8" s="32" t="s">
        <v>9</v>
      </c>
      <c r="B8" s="26" t="s">
        <v>26</v>
      </c>
      <c r="C8" s="27" t="s">
        <v>19</v>
      </c>
      <c r="D8" s="27">
        <f>82+86+96+89</f>
        <v>353</v>
      </c>
      <c r="E8" s="27">
        <f>32+52+59+54</f>
        <v>197</v>
      </c>
      <c r="F8" s="27">
        <v>9</v>
      </c>
      <c r="G8" s="27">
        <v>3</v>
      </c>
      <c r="H8" s="25">
        <f t="shared" si="0"/>
        <v>550</v>
      </c>
      <c r="I8" s="218">
        <f>+H8+H9</f>
        <v>1057</v>
      </c>
      <c r="J8" s="222">
        <f>+I8+I10</f>
        <v>1982</v>
      </c>
    </row>
    <row r="9" spans="1:10" ht="15" customHeight="1" x14ac:dyDescent="0.25">
      <c r="A9" s="25"/>
      <c r="B9" s="26" t="s">
        <v>27</v>
      </c>
      <c r="C9" s="27" t="s">
        <v>19</v>
      </c>
      <c r="D9" s="27">
        <f>87+87+90+97</f>
        <v>361</v>
      </c>
      <c r="E9" s="27">
        <f>50+36+33+27</f>
        <v>146</v>
      </c>
      <c r="F9" s="28">
        <v>8</v>
      </c>
      <c r="G9" s="27">
        <v>11</v>
      </c>
      <c r="H9" s="25">
        <f t="shared" si="0"/>
        <v>507</v>
      </c>
      <c r="I9" s="218"/>
      <c r="J9" s="222"/>
    </row>
    <row r="10" spans="1:10" ht="15" customHeight="1" x14ac:dyDescent="0.25">
      <c r="A10" s="25"/>
      <c r="B10" s="26" t="s">
        <v>28</v>
      </c>
      <c r="C10" s="27" t="s">
        <v>19</v>
      </c>
      <c r="D10" s="27">
        <f>87+74+94+69</f>
        <v>324</v>
      </c>
      <c r="E10" s="27">
        <f>34+25+30+26</f>
        <v>115</v>
      </c>
      <c r="F10" s="28">
        <v>4</v>
      </c>
      <c r="G10" s="27">
        <v>19</v>
      </c>
      <c r="H10" s="25">
        <f t="shared" ref="H10" si="1">+D10+E10</f>
        <v>439</v>
      </c>
      <c r="I10" s="218">
        <f>+H10+H11</f>
        <v>925</v>
      </c>
      <c r="J10" s="222"/>
    </row>
    <row r="11" spans="1:10" ht="15" customHeight="1" x14ac:dyDescent="0.25">
      <c r="A11" s="29"/>
      <c r="B11" t="s">
        <v>201</v>
      </c>
      <c r="C11" s="31" t="s">
        <v>19</v>
      </c>
      <c r="D11" s="31">
        <f>82+79+83+100</f>
        <v>344</v>
      </c>
      <c r="E11" s="31">
        <f>41+34+34+33</f>
        <v>142</v>
      </c>
      <c r="F11" s="31">
        <v>2</v>
      </c>
      <c r="G11" s="31">
        <v>14</v>
      </c>
      <c r="H11" s="29">
        <f t="shared" ref="H11:H15" si="2">+D11+E11</f>
        <v>486</v>
      </c>
      <c r="I11" s="219"/>
      <c r="J11" s="223"/>
    </row>
    <row r="12" spans="1:10" x14ac:dyDescent="0.25">
      <c r="A12" s="2" t="s">
        <v>10</v>
      </c>
      <c r="B12" s="33" t="s">
        <v>57</v>
      </c>
      <c r="C12" s="35" t="s">
        <v>18</v>
      </c>
      <c r="D12" s="83"/>
      <c r="E12" s="83"/>
      <c r="F12" s="35"/>
      <c r="G12" s="35"/>
      <c r="H12" s="25"/>
      <c r="I12" s="224">
        <f t="shared" ref="I12" si="3">+H12+H13</f>
        <v>431</v>
      </c>
      <c r="J12" s="221">
        <f>+I12+I14</f>
        <v>1447</v>
      </c>
    </row>
    <row r="13" spans="1:10" x14ac:dyDescent="0.25">
      <c r="A13" s="2"/>
      <c r="B13" s="26" t="s">
        <v>191</v>
      </c>
      <c r="C13" s="27" t="s">
        <v>18</v>
      </c>
      <c r="D13" s="27">
        <f>82+89+72+78</f>
        <v>321</v>
      </c>
      <c r="E13" s="27">
        <f>43+16+17+34</f>
        <v>110</v>
      </c>
      <c r="F13" s="27">
        <v>4</v>
      </c>
      <c r="G13" s="27">
        <v>25</v>
      </c>
      <c r="H13" s="25">
        <f t="shared" si="2"/>
        <v>431</v>
      </c>
      <c r="I13" s="218"/>
      <c r="J13" s="222"/>
    </row>
    <row r="14" spans="1:10" x14ac:dyDescent="0.25">
      <c r="A14" s="2"/>
      <c r="B14" s="26" t="s">
        <v>96</v>
      </c>
      <c r="C14" s="27" t="s">
        <v>18</v>
      </c>
      <c r="D14" s="27">
        <f>93+85+84+81</f>
        <v>343</v>
      </c>
      <c r="E14" s="27">
        <f>44+35+44+40</f>
        <v>163</v>
      </c>
      <c r="F14" s="27">
        <v>6</v>
      </c>
      <c r="G14" s="27">
        <v>12</v>
      </c>
      <c r="H14" s="25">
        <f t="shared" si="2"/>
        <v>506</v>
      </c>
      <c r="I14" s="218">
        <f t="shared" ref="I14" si="4">+H14+H15</f>
        <v>1016</v>
      </c>
      <c r="J14" s="222"/>
    </row>
    <row r="15" spans="1:10" x14ac:dyDescent="0.25">
      <c r="A15" s="30"/>
      <c r="B15" s="30" t="s">
        <v>97</v>
      </c>
      <c r="C15" s="31" t="s">
        <v>18</v>
      </c>
      <c r="D15" s="31">
        <f>83+87+96+101</f>
        <v>367</v>
      </c>
      <c r="E15" s="31">
        <f>45+27+27+44</f>
        <v>143</v>
      </c>
      <c r="F15" s="31">
        <v>7</v>
      </c>
      <c r="G15" s="31">
        <v>13</v>
      </c>
      <c r="H15" s="29">
        <f t="shared" si="2"/>
        <v>510</v>
      </c>
      <c r="I15" s="219"/>
      <c r="J15" s="223"/>
    </row>
    <row r="16" spans="1:10" ht="15" customHeight="1" x14ac:dyDescent="0.25">
      <c r="A16" s="2"/>
    </row>
    <row r="17" spans="1:10" x14ac:dyDescent="0.25">
      <c r="A17" s="26"/>
      <c r="C17" s="46" t="s">
        <v>98</v>
      </c>
      <c r="D17" s="37">
        <f>AVERAGE(D4:D16)</f>
        <v>349</v>
      </c>
      <c r="E17" s="37">
        <f t="shared" ref="E17:H17" si="5">AVERAGE(E4:E16)</f>
        <v>145.09090909090909</v>
      </c>
      <c r="F17" s="38">
        <f t="shared" si="5"/>
        <v>5.7272727272727275</v>
      </c>
      <c r="G17" s="38">
        <f t="shared" si="5"/>
        <v>14.090909090909092</v>
      </c>
      <c r="H17" s="37">
        <f t="shared" si="5"/>
        <v>494.09090909090907</v>
      </c>
    </row>
    <row r="18" spans="1:10" x14ac:dyDescent="0.25">
      <c r="A18" s="26"/>
    </row>
    <row r="24" spans="1:10" x14ac:dyDescent="0.25">
      <c r="J24" s="95"/>
    </row>
    <row r="25" spans="1:10" x14ac:dyDescent="0.25">
      <c r="I25" s="94"/>
      <c r="J25" s="95"/>
    </row>
    <row r="26" spans="1:10" x14ac:dyDescent="0.25">
      <c r="I26" s="94"/>
      <c r="J26" s="95"/>
    </row>
  </sheetData>
  <mergeCells count="9">
    <mergeCell ref="I12:I13"/>
    <mergeCell ref="J12:J15"/>
    <mergeCell ref="I14:I15"/>
    <mergeCell ref="I4:I5"/>
    <mergeCell ref="J4:J7"/>
    <mergeCell ref="I6:I7"/>
    <mergeCell ref="I8:I9"/>
    <mergeCell ref="J8:J11"/>
    <mergeCell ref="I10:I11"/>
  </mergeCells>
  <pageMargins left="0.7" right="0.7" top="0.75" bottom="0.75" header="0.3" footer="0.3"/>
  <pageSetup paperSize="9" orientation="portrait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3"/>
  <sheetViews>
    <sheetView topLeftCell="A4" zoomScaleNormal="100" workbookViewId="0">
      <selection activeCell="I20" sqref="I20"/>
    </sheetView>
  </sheetViews>
  <sheetFormatPr defaultRowHeight="15" x14ac:dyDescent="0.25"/>
  <cols>
    <col min="1" max="1" width="3.5703125" customWidth="1"/>
    <col min="2" max="2" width="17.7109375" customWidth="1"/>
    <col min="3" max="3" width="15.5703125" style="8" customWidth="1"/>
    <col min="4" max="4" width="4.5703125" style="7" customWidth="1"/>
    <col min="5" max="5" width="3.42578125" style="8" customWidth="1"/>
    <col min="6" max="7" width="2" style="8" customWidth="1"/>
    <col min="8" max="8" width="3.5703125" customWidth="1"/>
    <col min="9" max="9" width="17.42578125" customWidth="1"/>
    <col min="10" max="10" width="16.140625" style="8" customWidth="1"/>
    <col min="11" max="11" width="4.28515625" style="8" customWidth="1"/>
    <col min="12" max="12" width="3.42578125" style="121" customWidth="1"/>
    <col min="13" max="13" width="0.7109375" customWidth="1"/>
    <col min="14" max="14" width="3.5703125" customWidth="1"/>
    <col min="15" max="15" width="20.42578125" customWidth="1"/>
    <col min="16" max="16" width="13.42578125" style="8" customWidth="1"/>
    <col min="17" max="17" width="4.28515625" style="4" customWidth="1"/>
    <col min="18" max="18" width="3.28515625" customWidth="1"/>
  </cols>
  <sheetData>
    <row r="1" spans="1:18" ht="18.75" x14ac:dyDescent="0.3">
      <c r="B1" s="10" t="s">
        <v>220</v>
      </c>
      <c r="J1" s="100"/>
    </row>
    <row r="2" spans="1:18" ht="3" customHeight="1" x14ac:dyDescent="0.25"/>
    <row r="3" spans="1:18" x14ac:dyDescent="0.25">
      <c r="B3" s="13" t="s">
        <v>37</v>
      </c>
    </row>
    <row r="4" spans="1:18" ht="1.5" customHeight="1" x14ac:dyDescent="0.25"/>
    <row r="5" spans="1:18" x14ac:dyDescent="0.25">
      <c r="B5" s="16" t="s">
        <v>38</v>
      </c>
      <c r="C5" s="23"/>
      <c r="D5" s="16"/>
      <c r="E5" s="23"/>
      <c r="F5" s="23"/>
      <c r="G5" s="23"/>
      <c r="H5" s="15"/>
      <c r="I5" s="16" t="s">
        <v>53</v>
      </c>
      <c r="J5" s="23"/>
      <c r="K5" s="23"/>
      <c r="L5" s="106"/>
      <c r="M5" s="15"/>
      <c r="N5" s="15"/>
      <c r="O5" s="16" t="s">
        <v>54</v>
      </c>
    </row>
    <row r="6" spans="1:18" ht="3" customHeight="1" x14ac:dyDescent="0.25"/>
    <row r="7" spans="1:18" ht="15.75" x14ac:dyDescent="0.25">
      <c r="A7" s="16" t="s">
        <v>0</v>
      </c>
      <c r="B7" s="26" t="s">
        <v>78</v>
      </c>
      <c r="C7" s="27" t="s">
        <v>129</v>
      </c>
      <c r="D7" s="66">
        <v>643</v>
      </c>
      <c r="H7" s="16" t="s">
        <v>0</v>
      </c>
      <c r="I7" t="s">
        <v>23</v>
      </c>
      <c r="J7" s="8" t="s">
        <v>18</v>
      </c>
      <c r="K7" s="7">
        <v>567</v>
      </c>
      <c r="N7" s="16" t="s">
        <v>0</v>
      </c>
      <c r="O7" t="s">
        <v>26</v>
      </c>
      <c r="P7" s="8" t="s">
        <v>19</v>
      </c>
      <c r="Q7" s="4">
        <v>550</v>
      </c>
    </row>
    <row r="8" spans="1:18" x14ac:dyDescent="0.25">
      <c r="A8" s="16" t="s">
        <v>9</v>
      </c>
      <c r="B8" s="26" t="s">
        <v>36</v>
      </c>
      <c r="C8" s="27" t="s">
        <v>128</v>
      </c>
      <c r="D8" s="16">
        <v>629</v>
      </c>
      <c r="H8" s="16" t="s">
        <v>9</v>
      </c>
      <c r="I8" t="s">
        <v>21</v>
      </c>
      <c r="J8" s="8" t="s">
        <v>18</v>
      </c>
      <c r="K8" s="7">
        <v>542</v>
      </c>
      <c r="N8" s="16" t="s">
        <v>9</v>
      </c>
      <c r="O8" s="26" t="s">
        <v>194</v>
      </c>
      <c r="P8" s="26" t="s">
        <v>192</v>
      </c>
      <c r="Q8" s="4">
        <v>525</v>
      </c>
    </row>
    <row r="9" spans="1:18" x14ac:dyDescent="0.25">
      <c r="A9" s="16" t="s">
        <v>10</v>
      </c>
      <c r="B9" s="26" t="s">
        <v>173</v>
      </c>
      <c r="C9" s="27" t="s">
        <v>175</v>
      </c>
      <c r="D9" s="16">
        <v>613</v>
      </c>
      <c r="E9" s="24"/>
      <c r="F9" s="24"/>
      <c r="H9" s="16" t="s">
        <v>10</v>
      </c>
      <c r="I9" s="48" t="s">
        <v>130</v>
      </c>
      <c r="J9" s="93" t="s">
        <v>133</v>
      </c>
      <c r="K9" s="7">
        <v>536</v>
      </c>
      <c r="N9" s="16" t="s">
        <v>10</v>
      </c>
      <c r="O9" s="26" t="s">
        <v>196</v>
      </c>
      <c r="P9" s="26" t="s">
        <v>192</v>
      </c>
      <c r="Q9" s="4">
        <v>523</v>
      </c>
    </row>
    <row r="10" spans="1:18" x14ac:dyDescent="0.25">
      <c r="A10" s="16" t="s">
        <v>11</v>
      </c>
      <c r="B10" s="26" t="s">
        <v>224</v>
      </c>
      <c r="C10" s="27" t="s">
        <v>175</v>
      </c>
      <c r="D10" s="16">
        <v>611</v>
      </c>
      <c r="E10" s="24"/>
      <c r="H10" s="16" t="s">
        <v>11</v>
      </c>
      <c r="I10" s="48" t="s">
        <v>136</v>
      </c>
      <c r="J10" s="93" t="s">
        <v>131</v>
      </c>
      <c r="K10" s="7">
        <v>535</v>
      </c>
      <c r="L10" s="121">
        <v>182</v>
      </c>
      <c r="N10" s="16" t="s">
        <v>11</v>
      </c>
      <c r="O10" s="48" t="s">
        <v>195</v>
      </c>
      <c r="P10" s="26" t="s">
        <v>192</v>
      </c>
      <c r="Q10" s="4">
        <v>511</v>
      </c>
    </row>
    <row r="11" spans="1:18" x14ac:dyDescent="0.25">
      <c r="A11" s="16" t="s">
        <v>12</v>
      </c>
      <c r="B11" s="48" t="s">
        <v>88</v>
      </c>
      <c r="C11" s="93" t="s">
        <v>187</v>
      </c>
      <c r="D11" s="7">
        <v>599</v>
      </c>
      <c r="H11" s="16" t="s">
        <v>12</v>
      </c>
      <c r="I11" s="26" t="s">
        <v>137</v>
      </c>
      <c r="J11" s="93" t="s">
        <v>131</v>
      </c>
      <c r="K11" s="7">
        <v>535</v>
      </c>
      <c r="L11" s="121">
        <v>172</v>
      </c>
      <c r="N11" s="16" t="s">
        <v>12</v>
      </c>
      <c r="O11" t="s">
        <v>97</v>
      </c>
      <c r="P11" s="8" t="s">
        <v>18</v>
      </c>
      <c r="Q11" s="4">
        <v>510</v>
      </c>
    </row>
    <row r="12" spans="1:18" x14ac:dyDescent="0.25">
      <c r="A12" s="16" t="s">
        <v>13</v>
      </c>
      <c r="B12" s="26" t="s">
        <v>59</v>
      </c>
      <c r="C12" s="27" t="s">
        <v>85</v>
      </c>
      <c r="D12" s="7">
        <v>592</v>
      </c>
      <c r="H12" s="16" t="s">
        <v>13</v>
      </c>
      <c r="I12" s="81" t="s">
        <v>132</v>
      </c>
      <c r="J12" s="101" t="s">
        <v>131</v>
      </c>
      <c r="K12" s="7">
        <v>534</v>
      </c>
      <c r="N12" s="16" t="s">
        <v>13</v>
      </c>
      <c r="O12" t="s">
        <v>27</v>
      </c>
      <c r="P12" s="8" t="s">
        <v>19</v>
      </c>
      <c r="Q12" s="4">
        <v>507</v>
      </c>
    </row>
    <row r="13" spans="1:18" x14ac:dyDescent="0.25">
      <c r="A13" s="16" t="s">
        <v>39</v>
      </c>
      <c r="B13" s="26" t="s">
        <v>79</v>
      </c>
      <c r="C13" s="27" t="s">
        <v>129</v>
      </c>
      <c r="D13" s="7">
        <v>584</v>
      </c>
      <c r="H13" s="16" t="s">
        <v>39</v>
      </c>
      <c r="I13" s="26" t="s">
        <v>160</v>
      </c>
      <c r="J13" s="27" t="s">
        <v>161</v>
      </c>
      <c r="K13" s="7">
        <v>531</v>
      </c>
      <c r="N13" s="16" t="s">
        <v>39</v>
      </c>
      <c r="O13" t="s">
        <v>96</v>
      </c>
      <c r="P13" s="8" t="s">
        <v>18</v>
      </c>
      <c r="Q13" s="4">
        <v>506</v>
      </c>
    </row>
    <row r="14" spans="1:18" x14ac:dyDescent="0.25">
      <c r="A14" s="16" t="s">
        <v>40</v>
      </c>
      <c r="B14" t="s">
        <v>87</v>
      </c>
      <c r="C14" s="93" t="s">
        <v>187</v>
      </c>
      <c r="D14" s="7">
        <v>583</v>
      </c>
      <c r="E14" s="24"/>
      <c r="H14" s="16" t="s">
        <v>40</v>
      </c>
      <c r="I14" t="s">
        <v>115</v>
      </c>
      <c r="J14" s="8" t="s">
        <v>116</v>
      </c>
      <c r="K14" s="7">
        <v>525</v>
      </c>
      <c r="N14" s="16" t="s">
        <v>40</v>
      </c>
      <c r="O14" s="48" t="s">
        <v>177</v>
      </c>
      <c r="P14" s="27" t="s">
        <v>63</v>
      </c>
      <c r="Q14" s="4">
        <v>490</v>
      </c>
    </row>
    <row r="15" spans="1:18" x14ac:dyDescent="0.25">
      <c r="A15" s="16" t="s">
        <v>41</v>
      </c>
      <c r="B15" s="48" t="s">
        <v>114</v>
      </c>
      <c r="C15" s="124" t="s">
        <v>171</v>
      </c>
      <c r="D15" s="7">
        <v>582</v>
      </c>
      <c r="E15" s="24">
        <v>220</v>
      </c>
      <c r="H15" s="16" t="s">
        <v>41</v>
      </c>
      <c r="I15" t="s">
        <v>25</v>
      </c>
      <c r="J15" s="8" t="s">
        <v>116</v>
      </c>
      <c r="K15" s="7">
        <v>521</v>
      </c>
      <c r="N15" s="16" t="s">
        <v>41</v>
      </c>
      <c r="O15" s="26" t="s">
        <v>214</v>
      </c>
      <c r="P15" s="26" t="s">
        <v>211</v>
      </c>
      <c r="Q15" s="4">
        <v>489</v>
      </c>
    </row>
    <row r="16" spans="1:18" x14ac:dyDescent="0.25">
      <c r="A16" s="16" t="s">
        <v>42</v>
      </c>
      <c r="B16" s="26" t="s">
        <v>56</v>
      </c>
      <c r="C16" s="27" t="s">
        <v>128</v>
      </c>
      <c r="D16" s="7">
        <v>582</v>
      </c>
      <c r="E16" s="125">
        <v>204</v>
      </c>
      <c r="H16" s="16" t="s">
        <v>42</v>
      </c>
      <c r="I16" s="26" t="s">
        <v>178</v>
      </c>
      <c r="J16" s="27" t="s">
        <v>63</v>
      </c>
      <c r="K16" s="7">
        <v>518</v>
      </c>
      <c r="N16" s="16" t="s">
        <v>42</v>
      </c>
      <c r="O16" t="s">
        <v>201</v>
      </c>
      <c r="P16" s="8" t="s">
        <v>19</v>
      </c>
      <c r="Q16" s="4">
        <v>486</v>
      </c>
      <c r="R16" s="50"/>
    </row>
    <row r="17" spans="1:18" x14ac:dyDescent="0.25">
      <c r="A17" s="16" t="s">
        <v>43</v>
      </c>
      <c r="B17" s="26" t="s">
        <v>99</v>
      </c>
      <c r="C17" s="27" t="s">
        <v>127</v>
      </c>
      <c r="D17" s="7">
        <v>576</v>
      </c>
      <c r="E17" s="24"/>
      <c r="F17" s="24"/>
      <c r="G17" s="24"/>
      <c r="H17" s="16" t="s">
        <v>43</v>
      </c>
      <c r="I17" s="48" t="s">
        <v>223</v>
      </c>
      <c r="J17" s="27" t="s">
        <v>161</v>
      </c>
      <c r="K17" s="7">
        <v>517</v>
      </c>
      <c r="N17" s="16" t="s">
        <v>43</v>
      </c>
      <c r="O17" s="49" t="s">
        <v>64</v>
      </c>
      <c r="P17" s="19" t="s">
        <v>63</v>
      </c>
      <c r="Q17" s="72">
        <v>458</v>
      </c>
      <c r="R17" s="50"/>
    </row>
    <row r="18" spans="1:18" x14ac:dyDescent="0.25">
      <c r="A18" s="16" t="s">
        <v>44</v>
      </c>
      <c r="B18" s="48" t="s">
        <v>202</v>
      </c>
      <c r="C18" s="124" t="s">
        <v>171</v>
      </c>
      <c r="D18" s="7">
        <v>575</v>
      </c>
      <c r="G18" s="24"/>
      <c r="H18" s="16" t="s">
        <v>44</v>
      </c>
      <c r="I18" s="26" t="s">
        <v>65</v>
      </c>
      <c r="J18" s="27" t="s">
        <v>63</v>
      </c>
      <c r="K18" s="7">
        <v>516</v>
      </c>
      <c r="L18" s="121">
        <v>169</v>
      </c>
      <c r="N18" s="16" t="s">
        <v>44</v>
      </c>
      <c r="O18" s="26" t="s">
        <v>193</v>
      </c>
      <c r="P18" s="26" t="s">
        <v>192</v>
      </c>
      <c r="Q18" s="4">
        <v>447</v>
      </c>
      <c r="R18" s="50"/>
    </row>
    <row r="19" spans="1:18" x14ac:dyDescent="0.25">
      <c r="A19" s="16" t="s">
        <v>45</v>
      </c>
      <c r="B19" s="26" t="s">
        <v>83</v>
      </c>
      <c r="C19" s="26" t="s">
        <v>129</v>
      </c>
      <c r="D19" s="7">
        <v>568</v>
      </c>
      <c r="E19" s="24"/>
      <c r="G19" s="24"/>
      <c r="H19" s="16" t="s">
        <v>45</v>
      </c>
      <c r="I19" s="26" t="s">
        <v>153</v>
      </c>
      <c r="J19" s="27" t="s">
        <v>161</v>
      </c>
      <c r="K19" s="7">
        <v>516</v>
      </c>
      <c r="L19" s="121">
        <v>167</v>
      </c>
      <c r="N19" s="16" t="s">
        <v>45</v>
      </c>
      <c r="O19" t="s">
        <v>28</v>
      </c>
      <c r="P19" s="8" t="s">
        <v>19</v>
      </c>
      <c r="Q19" s="4">
        <v>439</v>
      </c>
      <c r="R19" s="50"/>
    </row>
    <row r="20" spans="1:18" x14ac:dyDescent="0.25">
      <c r="A20" s="16" t="s">
        <v>46</v>
      </c>
      <c r="B20" s="26" t="s">
        <v>155</v>
      </c>
      <c r="C20" s="27" t="s">
        <v>175</v>
      </c>
      <c r="D20" s="7">
        <v>564</v>
      </c>
      <c r="G20" s="24"/>
      <c r="H20" s="16" t="s">
        <v>46</v>
      </c>
      <c r="I20" t="s">
        <v>117</v>
      </c>
      <c r="J20" s="8" t="s">
        <v>116</v>
      </c>
      <c r="K20" s="7">
        <v>515</v>
      </c>
      <c r="N20" s="16" t="s">
        <v>46</v>
      </c>
      <c r="O20" s="48" t="s">
        <v>188</v>
      </c>
      <c r="P20" s="27" t="s">
        <v>18</v>
      </c>
      <c r="Q20" s="4">
        <v>431</v>
      </c>
      <c r="R20" s="50"/>
    </row>
    <row r="21" spans="1:18" x14ac:dyDescent="0.25">
      <c r="A21" s="16" t="s">
        <v>47</v>
      </c>
      <c r="B21" s="26" t="s">
        <v>124</v>
      </c>
      <c r="C21" s="27" t="s">
        <v>127</v>
      </c>
      <c r="D21" s="7">
        <v>558</v>
      </c>
      <c r="G21" s="24"/>
      <c r="H21" s="16" t="s">
        <v>47</v>
      </c>
      <c r="I21" t="s">
        <v>227</v>
      </c>
      <c r="J21" s="8" t="s">
        <v>118</v>
      </c>
      <c r="K21" s="7">
        <v>513</v>
      </c>
      <c r="N21" s="16"/>
      <c r="R21" s="50"/>
    </row>
    <row r="22" spans="1:18" x14ac:dyDescent="0.25">
      <c r="A22" s="16" t="s">
        <v>48</v>
      </c>
      <c r="B22" s="26" t="s">
        <v>32</v>
      </c>
      <c r="C22" s="27" t="s">
        <v>128</v>
      </c>
      <c r="D22" s="7">
        <v>557</v>
      </c>
      <c r="G22" s="24"/>
      <c r="H22" s="16" t="s">
        <v>48</v>
      </c>
      <c r="I22" t="s">
        <v>226</v>
      </c>
      <c r="J22" s="8" t="s">
        <v>118</v>
      </c>
      <c r="K22" s="7">
        <v>507</v>
      </c>
      <c r="N22" s="16"/>
      <c r="R22" s="50"/>
    </row>
    <row r="23" spans="1:18" x14ac:dyDescent="0.25">
      <c r="A23" s="16" t="s">
        <v>49</v>
      </c>
      <c r="B23" t="s">
        <v>22</v>
      </c>
      <c r="C23" t="s">
        <v>100</v>
      </c>
      <c r="D23" s="7">
        <v>551</v>
      </c>
      <c r="G23" s="24"/>
      <c r="H23" s="16" t="s">
        <v>49</v>
      </c>
      <c r="I23" s="26" t="s">
        <v>215</v>
      </c>
      <c r="J23" s="26" t="s">
        <v>211</v>
      </c>
      <c r="K23" s="7">
        <v>497</v>
      </c>
      <c r="N23" s="16"/>
      <c r="O23" s="49"/>
      <c r="P23" s="19"/>
      <c r="R23" s="50"/>
    </row>
    <row r="24" spans="1:18" x14ac:dyDescent="0.25">
      <c r="A24" s="16" t="s">
        <v>50</v>
      </c>
      <c r="B24" s="26" t="s">
        <v>60</v>
      </c>
      <c r="C24" s="27" t="s">
        <v>85</v>
      </c>
      <c r="D24" s="7">
        <v>547</v>
      </c>
      <c r="E24" s="24"/>
      <c r="G24" s="24"/>
      <c r="H24" s="16" t="s">
        <v>50</v>
      </c>
      <c r="I24" s="26" t="s">
        <v>135</v>
      </c>
      <c r="J24" s="93" t="s">
        <v>131</v>
      </c>
      <c r="K24" s="7">
        <v>491</v>
      </c>
      <c r="N24" s="16"/>
      <c r="R24" s="50"/>
    </row>
    <row r="25" spans="1:18" x14ac:dyDescent="0.25">
      <c r="A25" s="16" t="s">
        <v>51</v>
      </c>
      <c r="B25" s="26" t="s">
        <v>30</v>
      </c>
      <c r="C25" s="27" t="s">
        <v>128</v>
      </c>
      <c r="D25" s="7">
        <v>546</v>
      </c>
      <c r="E25" s="98"/>
      <c r="G25" s="24"/>
      <c r="H25" s="16" t="s">
        <v>51</v>
      </c>
      <c r="I25" s="48" t="s">
        <v>213</v>
      </c>
      <c r="J25" s="26" t="s">
        <v>211</v>
      </c>
      <c r="K25" s="7">
        <v>489</v>
      </c>
      <c r="N25" s="16"/>
      <c r="O25" s="48"/>
      <c r="P25" s="93"/>
      <c r="R25" s="50"/>
    </row>
    <row r="26" spans="1:18" x14ac:dyDescent="0.25">
      <c r="A26" s="16" t="s">
        <v>52</v>
      </c>
      <c r="B26" s="48" t="s">
        <v>180</v>
      </c>
      <c r="C26" s="93" t="s">
        <v>187</v>
      </c>
      <c r="D26" s="7">
        <v>543</v>
      </c>
      <c r="G26" s="24"/>
      <c r="H26" s="16" t="s">
        <v>52</v>
      </c>
      <c r="I26" s="26" t="s">
        <v>151</v>
      </c>
      <c r="J26" s="27" t="s">
        <v>116</v>
      </c>
      <c r="K26" s="7">
        <v>487</v>
      </c>
      <c r="N26" s="16"/>
      <c r="O26" s="26"/>
      <c r="P26" s="27"/>
    </row>
    <row r="27" spans="1:18" x14ac:dyDescent="0.25">
      <c r="A27" s="16" t="s">
        <v>66</v>
      </c>
      <c r="B27" s="48" t="s">
        <v>170</v>
      </c>
      <c r="C27" s="124" t="s">
        <v>171</v>
      </c>
      <c r="D27" s="7">
        <v>542</v>
      </c>
      <c r="G27" s="24"/>
      <c r="H27" s="16" t="s">
        <v>66</v>
      </c>
      <c r="I27" s="48" t="s">
        <v>17</v>
      </c>
      <c r="J27" s="26" t="s">
        <v>18</v>
      </c>
      <c r="K27" s="7">
        <v>483</v>
      </c>
    </row>
    <row r="28" spans="1:18" x14ac:dyDescent="0.25">
      <c r="A28" s="16" t="s">
        <v>67</v>
      </c>
      <c r="B28" s="26" t="s">
        <v>61</v>
      </c>
      <c r="C28" s="27" t="s">
        <v>139</v>
      </c>
      <c r="D28" s="7">
        <v>536</v>
      </c>
      <c r="H28" s="16" t="s">
        <v>67</v>
      </c>
      <c r="I28" s="26" t="s">
        <v>205</v>
      </c>
      <c r="J28" s="8" t="s">
        <v>116</v>
      </c>
      <c r="K28" s="7">
        <v>482</v>
      </c>
      <c r="L28" s="121">
        <v>144</v>
      </c>
    </row>
    <row r="29" spans="1:18" x14ac:dyDescent="0.25">
      <c r="A29" s="16" t="s">
        <v>68</v>
      </c>
      <c r="B29" t="s">
        <v>204</v>
      </c>
      <c r="C29" s="8" t="s">
        <v>113</v>
      </c>
      <c r="D29" s="7">
        <v>535</v>
      </c>
      <c r="E29" s="24"/>
      <c r="H29" s="16" t="s">
        <v>68</v>
      </c>
      <c r="I29" s="26" t="s">
        <v>163</v>
      </c>
      <c r="J29" s="27" t="s">
        <v>161</v>
      </c>
      <c r="K29" s="7">
        <v>482</v>
      </c>
      <c r="L29" s="121">
        <v>138</v>
      </c>
    </row>
    <row r="30" spans="1:18" x14ac:dyDescent="0.25">
      <c r="A30" s="16" t="s">
        <v>69</v>
      </c>
      <c r="B30" s="26" t="s">
        <v>174</v>
      </c>
      <c r="C30" s="27" t="s">
        <v>175</v>
      </c>
      <c r="D30" s="7">
        <v>532</v>
      </c>
      <c r="E30" s="98">
        <v>171</v>
      </c>
      <c r="H30" s="16" t="s">
        <v>69</v>
      </c>
      <c r="I30" s="48" t="s">
        <v>208</v>
      </c>
      <c r="J30" s="26" t="s">
        <v>207</v>
      </c>
      <c r="K30" s="7">
        <v>477</v>
      </c>
    </row>
    <row r="31" spans="1:18" x14ac:dyDescent="0.25">
      <c r="A31" s="16" t="s">
        <v>70</v>
      </c>
      <c r="B31" t="s">
        <v>125</v>
      </c>
      <c r="C31" s="8" t="s">
        <v>100</v>
      </c>
      <c r="D31" s="7">
        <v>532</v>
      </c>
      <c r="E31" s="24">
        <v>166</v>
      </c>
      <c r="H31" s="16" t="s">
        <v>70</v>
      </c>
      <c r="I31" s="26" t="s">
        <v>206</v>
      </c>
      <c r="J31" s="26" t="s">
        <v>207</v>
      </c>
      <c r="K31" s="7">
        <v>476</v>
      </c>
    </row>
    <row r="32" spans="1:18" x14ac:dyDescent="0.25">
      <c r="A32" s="16" t="s">
        <v>71</v>
      </c>
      <c r="B32" s="26" t="s">
        <v>62</v>
      </c>
      <c r="C32" s="27" t="s">
        <v>139</v>
      </c>
      <c r="D32" s="7">
        <v>531</v>
      </c>
      <c r="E32" s="24"/>
      <c r="H32" s="16" t="s">
        <v>71</v>
      </c>
      <c r="I32" t="s">
        <v>24</v>
      </c>
      <c r="J32" s="8" t="s">
        <v>116</v>
      </c>
      <c r="K32" s="7">
        <v>473</v>
      </c>
    </row>
    <row r="33" spans="1:11" x14ac:dyDescent="0.25">
      <c r="A33" s="16" t="s">
        <v>72</v>
      </c>
      <c r="B33" s="26" t="s">
        <v>34</v>
      </c>
      <c r="C33" s="99" t="s">
        <v>101</v>
      </c>
      <c r="D33" s="7">
        <v>523</v>
      </c>
      <c r="H33" s="16" t="s">
        <v>72</v>
      </c>
      <c r="I33" s="48" t="s">
        <v>154</v>
      </c>
      <c r="J33" s="93" t="s">
        <v>186</v>
      </c>
      <c r="K33" s="7">
        <v>457</v>
      </c>
    </row>
    <row r="34" spans="1:11" x14ac:dyDescent="0.25">
      <c r="A34" s="16" t="s">
        <v>73</v>
      </c>
      <c r="B34" s="48" t="s">
        <v>86</v>
      </c>
      <c r="C34" s="93" t="s">
        <v>187</v>
      </c>
      <c r="D34" s="7">
        <v>516</v>
      </c>
      <c r="E34" s="24"/>
      <c r="H34" s="16" t="s">
        <v>73</v>
      </c>
      <c r="I34" s="26" t="s">
        <v>210</v>
      </c>
      <c r="J34" s="26" t="s">
        <v>207</v>
      </c>
      <c r="K34" s="7">
        <v>453</v>
      </c>
    </row>
    <row r="35" spans="1:11" x14ac:dyDescent="0.25">
      <c r="A35" s="16" t="s">
        <v>74</v>
      </c>
      <c r="B35" s="48" t="s">
        <v>165</v>
      </c>
      <c r="C35" s="124" t="s">
        <v>171</v>
      </c>
      <c r="D35" s="7">
        <v>512</v>
      </c>
      <c r="E35" s="24"/>
      <c r="F35" s="24"/>
      <c r="H35" s="16" t="s">
        <v>74</v>
      </c>
      <c r="I35" s="26" t="s">
        <v>209</v>
      </c>
      <c r="J35" s="26" t="s">
        <v>207</v>
      </c>
      <c r="K35" s="7">
        <v>443</v>
      </c>
    </row>
    <row r="36" spans="1:11" x14ac:dyDescent="0.25">
      <c r="A36" s="16" t="s">
        <v>75</v>
      </c>
      <c r="B36" s="26" t="s">
        <v>33</v>
      </c>
      <c r="C36" s="99" t="s">
        <v>101</v>
      </c>
      <c r="D36" s="7">
        <v>511</v>
      </c>
      <c r="F36" s="24"/>
      <c r="H36" s="16" t="s">
        <v>75</v>
      </c>
      <c r="I36" s="26" t="s">
        <v>172</v>
      </c>
      <c r="J36" s="26" t="s">
        <v>211</v>
      </c>
      <c r="K36" s="7">
        <v>444</v>
      </c>
    </row>
    <row r="37" spans="1:11" x14ac:dyDescent="0.25">
      <c r="A37" s="16" t="s">
        <v>76</v>
      </c>
      <c r="B37" s="26" t="s">
        <v>31</v>
      </c>
      <c r="C37" s="99" t="s">
        <v>101</v>
      </c>
      <c r="D37" s="7">
        <v>509</v>
      </c>
      <c r="E37" s="98"/>
      <c r="H37" s="16" t="s">
        <v>76</v>
      </c>
      <c r="I37" t="s">
        <v>189</v>
      </c>
      <c r="J37" s="8" t="s">
        <v>118</v>
      </c>
      <c r="K37" s="7">
        <v>438</v>
      </c>
    </row>
    <row r="38" spans="1:11" x14ac:dyDescent="0.25">
      <c r="A38" s="16" t="s">
        <v>77</v>
      </c>
      <c r="B38" s="26" t="s">
        <v>84</v>
      </c>
      <c r="C38" s="27" t="s">
        <v>129</v>
      </c>
      <c r="D38" s="7">
        <v>506</v>
      </c>
      <c r="E38" s="98"/>
      <c r="H38" s="16" t="s">
        <v>77</v>
      </c>
      <c r="I38" t="s">
        <v>225</v>
      </c>
      <c r="J38" s="8" t="s">
        <v>118</v>
      </c>
      <c r="K38" s="7">
        <v>425</v>
      </c>
    </row>
    <row r="39" spans="1:11" x14ac:dyDescent="0.25">
      <c r="A39" s="16" t="s">
        <v>89</v>
      </c>
      <c r="B39" t="s">
        <v>176</v>
      </c>
      <c r="C39" s="8" t="s">
        <v>100</v>
      </c>
      <c r="D39" s="7">
        <v>494</v>
      </c>
      <c r="E39" s="24"/>
      <c r="H39" s="16" t="s">
        <v>89</v>
      </c>
      <c r="I39" s="48" t="s">
        <v>164</v>
      </c>
      <c r="J39" s="93" t="s">
        <v>186</v>
      </c>
      <c r="K39" s="7">
        <v>401</v>
      </c>
    </row>
    <row r="40" spans="1:11" x14ac:dyDescent="0.25">
      <c r="A40" s="16"/>
    </row>
    <row r="41" spans="1:11" x14ac:dyDescent="0.25">
      <c r="A41" s="16"/>
    </row>
    <row r="42" spans="1:11" x14ac:dyDescent="0.25">
      <c r="A42" s="16"/>
      <c r="E42" s="24"/>
    </row>
    <row r="43" spans="1:11" x14ac:dyDescent="0.25">
      <c r="A43" s="16"/>
      <c r="B43" s="48"/>
      <c r="C43" s="93"/>
      <c r="E43" s="24"/>
    </row>
    <row r="44" spans="1:11" x14ac:dyDescent="0.25">
      <c r="A44" s="16"/>
      <c r="B44" s="48"/>
      <c r="C44" s="93"/>
      <c r="E44" s="24"/>
      <c r="F44" s="24"/>
    </row>
    <row r="45" spans="1:11" x14ac:dyDescent="0.25">
      <c r="A45" s="16"/>
      <c r="B45" s="48"/>
      <c r="C45" s="27"/>
      <c r="E45" s="24"/>
      <c r="F45" s="24"/>
    </row>
    <row r="46" spans="1:11" x14ac:dyDescent="0.25">
      <c r="A46" s="16"/>
      <c r="F46" s="24"/>
    </row>
    <row r="47" spans="1:11" x14ac:dyDescent="0.25">
      <c r="A47" s="16"/>
      <c r="E47" s="98"/>
    </row>
    <row r="48" spans="1:11" x14ac:dyDescent="0.25">
      <c r="A48" s="16"/>
      <c r="F48" s="24"/>
    </row>
    <row r="49" spans="1:6" x14ac:dyDescent="0.25">
      <c r="A49" s="16"/>
      <c r="B49" s="26"/>
      <c r="C49" s="27"/>
    </row>
    <row r="50" spans="1:6" x14ac:dyDescent="0.25">
      <c r="A50" s="16"/>
    </row>
    <row r="51" spans="1:6" x14ac:dyDescent="0.25">
      <c r="A51" s="16"/>
      <c r="F51" s="24"/>
    </row>
    <row r="52" spans="1:6" x14ac:dyDescent="0.25">
      <c r="A52" s="16"/>
    </row>
    <row r="53" spans="1:6" x14ac:dyDescent="0.25">
      <c r="A53" s="16"/>
    </row>
    <row r="54" spans="1:6" x14ac:dyDescent="0.25">
      <c r="A54" s="16"/>
      <c r="F54" s="24"/>
    </row>
    <row r="55" spans="1:6" x14ac:dyDescent="0.25">
      <c r="A55" s="16"/>
      <c r="E55" s="24"/>
    </row>
    <row r="56" spans="1:6" x14ac:dyDescent="0.25">
      <c r="A56" s="16"/>
      <c r="E56" s="24"/>
      <c r="F56" s="24"/>
    </row>
    <row r="57" spans="1:6" x14ac:dyDescent="0.25">
      <c r="A57" s="16"/>
    </row>
    <row r="58" spans="1:6" x14ac:dyDescent="0.25">
      <c r="A58" s="16"/>
      <c r="F58" s="52"/>
    </row>
    <row r="59" spans="1:6" x14ac:dyDescent="0.25">
      <c r="A59" s="16"/>
      <c r="B59" s="26"/>
      <c r="C59" s="27"/>
      <c r="E59" s="24"/>
      <c r="F59" s="52"/>
    </row>
    <row r="60" spans="1:6" x14ac:dyDescent="0.25">
      <c r="A60" s="16"/>
      <c r="B60" s="48"/>
      <c r="C60" s="93"/>
    </row>
    <row r="61" spans="1:6" x14ac:dyDescent="0.25">
      <c r="A61" s="16"/>
    </row>
    <row r="62" spans="1:6" x14ac:dyDescent="0.25">
      <c r="A62" s="16"/>
      <c r="E62" s="24"/>
    </row>
    <row r="63" spans="1:6" x14ac:dyDescent="0.25">
      <c r="A63" s="16"/>
      <c r="E63" s="24"/>
    </row>
  </sheetData>
  <pageMargins left="0.7" right="0.7" top="0.75" bottom="0.75" header="0.3" footer="0.3"/>
  <pageSetup paperSize="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4"/>
  <sheetViews>
    <sheetView zoomScaleNormal="100" workbookViewId="0">
      <selection activeCell="P14" sqref="P14"/>
    </sheetView>
  </sheetViews>
  <sheetFormatPr defaultRowHeight="15" x14ac:dyDescent="0.25"/>
  <cols>
    <col min="1" max="1" width="3.140625" style="16" customWidth="1"/>
    <col min="2" max="2" width="16.7109375" customWidth="1"/>
    <col min="3" max="3" width="16" customWidth="1"/>
    <col min="4" max="4" width="5.5703125" style="17" customWidth="1"/>
    <col min="5" max="5" width="3.7109375" customWidth="1"/>
    <col min="6" max="6" width="3" customWidth="1"/>
    <col min="7" max="7" width="18.140625" customWidth="1"/>
    <col min="8" max="8" width="15.85546875" style="8" customWidth="1"/>
    <col min="9" max="9" width="6.42578125" style="17" customWidth="1"/>
    <col min="10" max="10" width="3.5703125" style="17" customWidth="1"/>
    <col min="11" max="11" width="2.85546875" customWidth="1"/>
    <col min="12" max="12" width="20.5703125" customWidth="1"/>
    <col min="13" max="13" width="14.42578125" customWidth="1"/>
    <col min="14" max="14" width="6.28515625" style="17" customWidth="1"/>
  </cols>
  <sheetData>
    <row r="1" spans="1:14" ht="18.75" x14ac:dyDescent="0.3">
      <c r="B1" s="10" t="s">
        <v>220</v>
      </c>
    </row>
    <row r="2" spans="1:14" ht="3" customHeight="1" x14ac:dyDescent="0.25"/>
    <row r="3" spans="1:14" x14ac:dyDescent="0.25">
      <c r="B3" s="12" t="s">
        <v>55</v>
      </c>
    </row>
    <row r="4" spans="1:14" ht="1.5" customHeight="1" x14ac:dyDescent="0.25"/>
    <row r="5" spans="1:14" ht="13.5" customHeight="1" x14ac:dyDescent="0.25">
      <c r="C5" s="14" t="s">
        <v>38</v>
      </c>
      <c r="E5" s="15"/>
      <c r="F5" s="15"/>
      <c r="G5" s="15"/>
      <c r="H5" s="16" t="s">
        <v>53</v>
      </c>
      <c r="K5" s="15"/>
      <c r="L5" s="15"/>
      <c r="M5" s="14" t="s">
        <v>54</v>
      </c>
    </row>
    <row r="6" spans="1:14" ht="3" customHeight="1" x14ac:dyDescent="0.25">
      <c r="B6" s="26"/>
      <c r="C6" s="26"/>
    </row>
    <row r="7" spans="1:14" x14ac:dyDescent="0.25">
      <c r="A7" s="16" t="s">
        <v>0</v>
      </c>
      <c r="B7" s="26" t="s">
        <v>78</v>
      </c>
      <c r="C7" s="26" t="s">
        <v>129</v>
      </c>
      <c r="D7" s="240">
        <v>1227</v>
      </c>
      <c r="F7" s="16" t="s">
        <v>0</v>
      </c>
      <c r="G7" s="26" t="s">
        <v>21</v>
      </c>
      <c r="H7" t="s">
        <v>18</v>
      </c>
      <c r="I7" s="229">
        <v>1109</v>
      </c>
      <c r="J7" s="64"/>
      <c r="K7" s="16" t="s">
        <v>0</v>
      </c>
      <c r="L7" t="s">
        <v>26</v>
      </c>
      <c r="M7" t="s">
        <v>19</v>
      </c>
      <c r="N7" s="229">
        <v>1057</v>
      </c>
    </row>
    <row r="8" spans="1:14" x14ac:dyDescent="0.25">
      <c r="B8" s="26" t="s">
        <v>79</v>
      </c>
      <c r="C8" s="26" t="s">
        <v>129</v>
      </c>
      <c r="D8" s="240"/>
      <c r="F8" s="16"/>
      <c r="G8" s="26" t="s">
        <v>23</v>
      </c>
      <c r="H8" s="26" t="s">
        <v>18</v>
      </c>
      <c r="I8" s="229"/>
      <c r="J8" s="64"/>
      <c r="K8" s="16"/>
      <c r="L8" t="s">
        <v>27</v>
      </c>
      <c r="M8" t="s">
        <v>19</v>
      </c>
      <c r="N8" s="229"/>
    </row>
    <row r="9" spans="1:14" x14ac:dyDescent="0.25">
      <c r="A9" s="16" t="s">
        <v>9</v>
      </c>
      <c r="B9" s="26" t="s">
        <v>173</v>
      </c>
      <c r="C9" s="26" t="s">
        <v>175</v>
      </c>
      <c r="D9" s="229">
        <v>1224</v>
      </c>
      <c r="F9" s="16" t="s">
        <v>9</v>
      </c>
      <c r="G9" s="48" t="s">
        <v>136</v>
      </c>
      <c r="H9" s="93" t="s">
        <v>131</v>
      </c>
      <c r="I9" s="229">
        <v>1070</v>
      </c>
      <c r="J9" s="64"/>
      <c r="K9" s="16" t="s">
        <v>9</v>
      </c>
      <c r="L9" s="48" t="s">
        <v>195</v>
      </c>
      <c r="M9" s="26" t="s">
        <v>192</v>
      </c>
      <c r="N9" s="229">
        <v>1034</v>
      </c>
    </row>
    <row r="10" spans="1:14" x14ac:dyDescent="0.25">
      <c r="B10" s="26" t="s">
        <v>224</v>
      </c>
      <c r="C10" s="26" t="s">
        <v>175</v>
      </c>
      <c r="D10" s="229"/>
      <c r="F10" s="16"/>
      <c r="G10" s="26" t="s">
        <v>137</v>
      </c>
      <c r="H10" s="93" t="s">
        <v>131</v>
      </c>
      <c r="I10" s="229"/>
      <c r="J10" s="64"/>
      <c r="K10" s="16"/>
      <c r="L10" s="26" t="s">
        <v>196</v>
      </c>
      <c r="M10" s="26" t="s">
        <v>192</v>
      </c>
      <c r="N10" s="229"/>
    </row>
    <row r="11" spans="1:14" x14ac:dyDescent="0.25">
      <c r="A11" s="16" t="s">
        <v>10</v>
      </c>
      <c r="B11" s="26" t="s">
        <v>56</v>
      </c>
      <c r="C11" s="26" t="s">
        <v>128</v>
      </c>
      <c r="D11" s="229">
        <v>1211</v>
      </c>
      <c r="F11" s="16" t="s">
        <v>10</v>
      </c>
      <c r="G11" s="26" t="s">
        <v>153</v>
      </c>
      <c r="H11" s="26" t="s">
        <v>161</v>
      </c>
      <c r="I11" s="229">
        <v>1047</v>
      </c>
      <c r="J11" s="64"/>
      <c r="K11" s="16" t="s">
        <v>10</v>
      </c>
      <c r="L11" t="s">
        <v>96</v>
      </c>
      <c r="M11" t="s">
        <v>18</v>
      </c>
      <c r="N11" s="229">
        <v>1016</v>
      </c>
    </row>
    <row r="12" spans="1:14" x14ac:dyDescent="0.25">
      <c r="B12" s="26" t="s">
        <v>36</v>
      </c>
      <c r="C12" s="26" t="s">
        <v>128</v>
      </c>
      <c r="D12" s="229"/>
      <c r="F12" s="16"/>
      <c r="G12" s="26" t="s">
        <v>160</v>
      </c>
      <c r="H12" s="26" t="s">
        <v>161</v>
      </c>
      <c r="I12" s="229"/>
      <c r="J12" s="64"/>
      <c r="K12" s="16"/>
      <c r="L12" t="s">
        <v>97</v>
      </c>
      <c r="M12" t="s">
        <v>18</v>
      </c>
      <c r="N12" s="229"/>
    </row>
    <row r="13" spans="1:14" x14ac:dyDescent="0.25">
      <c r="A13" s="16" t="s">
        <v>11</v>
      </c>
      <c r="B13" s="48" t="s">
        <v>202</v>
      </c>
      <c r="C13" s="48" t="s">
        <v>171</v>
      </c>
      <c r="D13" s="229">
        <v>1157</v>
      </c>
      <c r="E13" s="50">
        <v>427</v>
      </c>
      <c r="F13" s="16" t="s">
        <v>11</v>
      </c>
      <c r="G13" s="26" t="s">
        <v>65</v>
      </c>
      <c r="H13" s="27" t="s">
        <v>63</v>
      </c>
      <c r="I13" s="229">
        <v>1034</v>
      </c>
      <c r="J13" s="64"/>
      <c r="K13" s="16" t="s">
        <v>11</v>
      </c>
      <c r="L13" s="26" t="s">
        <v>193</v>
      </c>
      <c r="M13" s="26" t="s">
        <v>192</v>
      </c>
      <c r="N13" s="229">
        <v>972</v>
      </c>
    </row>
    <row r="14" spans="1:14" x14ac:dyDescent="0.25">
      <c r="B14" s="48" t="s">
        <v>114</v>
      </c>
      <c r="C14" s="48" t="s">
        <v>171</v>
      </c>
      <c r="D14" s="229"/>
      <c r="F14" s="16"/>
      <c r="G14" s="26" t="s">
        <v>178</v>
      </c>
      <c r="H14" s="27" t="s">
        <v>63</v>
      </c>
      <c r="I14" s="229"/>
      <c r="J14" s="64"/>
      <c r="K14" s="16"/>
      <c r="L14" s="26" t="s">
        <v>194</v>
      </c>
      <c r="M14" s="26" t="s">
        <v>192</v>
      </c>
      <c r="N14" s="229"/>
    </row>
    <row r="15" spans="1:14" x14ac:dyDescent="0.25">
      <c r="A15" s="16" t="s">
        <v>12</v>
      </c>
      <c r="B15" t="s">
        <v>87</v>
      </c>
      <c r="C15" s="93" t="s">
        <v>187</v>
      </c>
      <c r="D15" s="229">
        <v>1157</v>
      </c>
      <c r="E15" s="50">
        <v>400</v>
      </c>
      <c r="F15" s="16" t="s">
        <v>12</v>
      </c>
      <c r="G15" s="26" t="s">
        <v>135</v>
      </c>
      <c r="H15" s="27" t="s">
        <v>131</v>
      </c>
      <c r="I15" s="229">
        <v>1025</v>
      </c>
      <c r="J15" s="64"/>
      <c r="K15" s="16" t="s">
        <v>12</v>
      </c>
      <c r="L15" s="26" t="s">
        <v>64</v>
      </c>
      <c r="M15" s="26" t="s">
        <v>63</v>
      </c>
      <c r="N15" s="229">
        <v>948</v>
      </c>
    </row>
    <row r="16" spans="1:14" x14ac:dyDescent="0.25">
      <c r="B16" s="48" t="s">
        <v>88</v>
      </c>
      <c r="C16" s="93" t="s">
        <v>187</v>
      </c>
      <c r="D16" s="229"/>
      <c r="F16" s="16"/>
      <c r="G16" s="26" t="s">
        <v>132</v>
      </c>
      <c r="H16" s="27" t="s">
        <v>131</v>
      </c>
      <c r="I16" s="229"/>
      <c r="J16" s="64"/>
      <c r="K16" s="16"/>
      <c r="L16" s="48" t="s">
        <v>177</v>
      </c>
      <c r="M16" s="26" t="s">
        <v>63</v>
      </c>
      <c r="N16" s="229"/>
    </row>
    <row r="17" spans="1:14" x14ac:dyDescent="0.25">
      <c r="A17" s="16" t="s">
        <v>13</v>
      </c>
      <c r="B17" s="26" t="s">
        <v>59</v>
      </c>
      <c r="C17" s="26" t="s">
        <v>139</v>
      </c>
      <c r="D17" s="229">
        <v>1139</v>
      </c>
      <c r="E17" s="104"/>
      <c r="F17" s="16" t="s">
        <v>13</v>
      </c>
      <c r="G17" s="26" t="s">
        <v>115</v>
      </c>
      <c r="H17" s="27" t="s">
        <v>168</v>
      </c>
      <c r="I17" s="229">
        <v>1012</v>
      </c>
      <c r="J17" s="242"/>
      <c r="K17" s="16" t="s">
        <v>13</v>
      </c>
      <c r="L17" t="s">
        <v>28</v>
      </c>
      <c r="M17" t="s">
        <v>19</v>
      </c>
      <c r="N17" s="229">
        <v>925</v>
      </c>
    </row>
    <row r="18" spans="1:14" x14ac:dyDescent="0.25">
      <c r="B18" s="26" t="s">
        <v>60</v>
      </c>
      <c r="C18" s="26" t="s">
        <v>139</v>
      </c>
      <c r="D18" s="229"/>
      <c r="E18" s="104"/>
      <c r="F18" s="16"/>
      <c r="G18" s="26" t="s">
        <v>169</v>
      </c>
      <c r="H18" s="27" t="s">
        <v>168</v>
      </c>
      <c r="I18" s="229"/>
      <c r="J18" s="242"/>
      <c r="K18" s="16"/>
      <c r="L18" t="s">
        <v>201</v>
      </c>
      <c r="M18" s="26" t="s">
        <v>19</v>
      </c>
      <c r="N18" s="229"/>
    </row>
    <row r="19" spans="1:14" x14ac:dyDescent="0.25">
      <c r="A19" s="16" t="s">
        <v>39</v>
      </c>
      <c r="B19" s="26" t="s">
        <v>30</v>
      </c>
      <c r="C19" s="26" t="s">
        <v>128</v>
      </c>
      <c r="D19" s="229">
        <v>1103</v>
      </c>
      <c r="E19" s="65"/>
      <c r="F19" s="16" t="s">
        <v>39</v>
      </c>
      <c r="G19" s="26" t="s">
        <v>163</v>
      </c>
      <c r="H19" s="26" t="s">
        <v>161</v>
      </c>
      <c r="I19" s="229">
        <v>999</v>
      </c>
      <c r="J19" s="242"/>
      <c r="K19" s="16" t="s">
        <v>39</v>
      </c>
      <c r="L19" s="80"/>
      <c r="M19" s="80"/>
      <c r="N19" s="229"/>
    </row>
    <row r="20" spans="1:14" x14ac:dyDescent="0.25">
      <c r="B20" s="26" t="s">
        <v>32</v>
      </c>
      <c r="C20" s="26" t="s">
        <v>128</v>
      </c>
      <c r="D20" s="229"/>
      <c r="F20" s="16"/>
      <c r="G20" s="48" t="s">
        <v>223</v>
      </c>
      <c r="H20" s="26" t="s">
        <v>161</v>
      </c>
      <c r="I20" s="229"/>
      <c r="J20" s="242"/>
      <c r="K20" s="16"/>
      <c r="L20" s="80"/>
      <c r="M20" s="80"/>
      <c r="N20" s="229"/>
    </row>
    <row r="21" spans="1:14" x14ac:dyDescent="0.25">
      <c r="A21" s="16" t="s">
        <v>40</v>
      </c>
      <c r="B21" s="26" t="s">
        <v>174</v>
      </c>
      <c r="C21" s="26" t="s">
        <v>175</v>
      </c>
      <c r="D21" s="229">
        <v>1096</v>
      </c>
      <c r="F21" s="16" t="s">
        <v>40</v>
      </c>
      <c r="G21" s="26" t="s">
        <v>205</v>
      </c>
      <c r="H21" s="27" t="s">
        <v>168</v>
      </c>
      <c r="I21" s="229">
        <v>995</v>
      </c>
      <c r="K21" s="16"/>
      <c r="N21" s="229"/>
    </row>
    <row r="22" spans="1:14" x14ac:dyDescent="0.25">
      <c r="B22" s="26" t="s">
        <v>155</v>
      </c>
      <c r="C22" s="26" t="s">
        <v>175</v>
      </c>
      <c r="D22" s="229"/>
      <c r="F22" s="16"/>
      <c r="G22" s="26" t="s">
        <v>117</v>
      </c>
      <c r="H22" s="27" t="s">
        <v>168</v>
      </c>
      <c r="I22" s="229"/>
      <c r="K22" s="16"/>
      <c r="N22" s="229"/>
    </row>
    <row r="23" spans="1:14" x14ac:dyDescent="0.25">
      <c r="A23" s="16" t="s">
        <v>41</v>
      </c>
      <c r="B23" s="26" t="s">
        <v>124</v>
      </c>
      <c r="C23" s="26" t="s">
        <v>127</v>
      </c>
      <c r="D23" s="229">
        <v>1090</v>
      </c>
      <c r="F23" s="16" t="s">
        <v>41</v>
      </c>
      <c r="G23" t="s">
        <v>24</v>
      </c>
      <c r="H23" s="27" t="s">
        <v>168</v>
      </c>
      <c r="I23" s="229">
        <v>994</v>
      </c>
      <c r="K23" s="16"/>
    </row>
    <row r="24" spans="1:14" x14ac:dyDescent="0.25">
      <c r="B24" t="s">
        <v>125</v>
      </c>
      <c r="C24" s="26" t="s">
        <v>127</v>
      </c>
      <c r="D24" s="229"/>
      <c r="F24" s="16"/>
      <c r="G24" s="26" t="s">
        <v>25</v>
      </c>
      <c r="H24" s="27" t="s">
        <v>168</v>
      </c>
      <c r="I24" s="229"/>
      <c r="K24" s="16"/>
    </row>
    <row r="25" spans="1:14" x14ac:dyDescent="0.25">
      <c r="A25" s="16" t="s">
        <v>42</v>
      </c>
      <c r="B25" s="26" t="s">
        <v>83</v>
      </c>
      <c r="C25" s="26" t="s">
        <v>129</v>
      </c>
      <c r="D25" s="229">
        <v>1074</v>
      </c>
      <c r="E25" s="243"/>
      <c r="F25" s="16" t="s">
        <v>42</v>
      </c>
      <c r="G25" s="48" t="s">
        <v>154</v>
      </c>
      <c r="H25" s="93" t="s">
        <v>133</v>
      </c>
      <c r="I25" s="229">
        <v>993</v>
      </c>
    </row>
    <row r="26" spans="1:14" x14ac:dyDescent="0.25">
      <c r="B26" s="26" t="s">
        <v>84</v>
      </c>
      <c r="C26" s="26" t="s">
        <v>129</v>
      </c>
      <c r="D26" s="229"/>
      <c r="E26" s="243"/>
      <c r="F26" s="16"/>
      <c r="G26" s="48" t="s">
        <v>130</v>
      </c>
      <c r="H26" s="93" t="s">
        <v>133</v>
      </c>
      <c r="I26" s="229"/>
    </row>
    <row r="27" spans="1:14" x14ac:dyDescent="0.25">
      <c r="A27" s="16" t="s">
        <v>43</v>
      </c>
      <c r="B27" s="26" t="s">
        <v>176</v>
      </c>
      <c r="C27" s="26" t="s">
        <v>127</v>
      </c>
      <c r="D27" s="229">
        <v>1070</v>
      </c>
      <c r="F27" s="16" t="s">
        <v>43</v>
      </c>
      <c r="G27" s="26" t="s">
        <v>214</v>
      </c>
      <c r="H27" s="26" t="s">
        <v>211</v>
      </c>
      <c r="I27" s="229">
        <v>987</v>
      </c>
      <c r="J27" s="241"/>
    </row>
    <row r="28" spans="1:14" x14ac:dyDescent="0.25">
      <c r="B28" s="26" t="s">
        <v>99</v>
      </c>
      <c r="C28" s="26" t="s">
        <v>127</v>
      </c>
      <c r="D28" s="229"/>
      <c r="F28" s="16"/>
      <c r="G28" s="26" t="s">
        <v>215</v>
      </c>
      <c r="H28" s="26" t="s">
        <v>211</v>
      </c>
      <c r="I28" s="229"/>
      <c r="J28" s="241"/>
    </row>
    <row r="29" spans="1:14" x14ac:dyDescent="0.25">
      <c r="A29" s="16" t="s">
        <v>44</v>
      </c>
      <c r="B29" s="26" t="s">
        <v>61</v>
      </c>
      <c r="C29" s="26" t="s">
        <v>139</v>
      </c>
      <c r="D29" s="229">
        <v>1067</v>
      </c>
      <c r="E29" s="243"/>
      <c r="F29" s="16" t="s">
        <v>44</v>
      </c>
      <c r="G29" s="26" t="s">
        <v>206</v>
      </c>
      <c r="H29" s="26" t="s">
        <v>207</v>
      </c>
      <c r="I29" s="229">
        <v>953</v>
      </c>
      <c r="J29" s="241"/>
    </row>
    <row r="30" spans="1:14" x14ac:dyDescent="0.25">
      <c r="B30" s="26" t="s">
        <v>62</v>
      </c>
      <c r="C30" s="26" t="s">
        <v>139</v>
      </c>
      <c r="D30" s="229"/>
      <c r="E30" s="243"/>
      <c r="F30" s="16"/>
      <c r="G30" s="48" t="s">
        <v>208</v>
      </c>
      <c r="H30" s="26" t="s">
        <v>207</v>
      </c>
      <c r="I30" s="229"/>
      <c r="J30" s="241"/>
    </row>
    <row r="31" spans="1:14" x14ac:dyDescent="0.25">
      <c r="A31" s="16" t="s">
        <v>45</v>
      </c>
      <c r="B31" s="48" t="s">
        <v>86</v>
      </c>
      <c r="C31" s="93" t="s">
        <v>187</v>
      </c>
      <c r="D31" s="229">
        <v>1059</v>
      </c>
      <c r="E31" s="243"/>
      <c r="F31" s="16" t="s">
        <v>45</v>
      </c>
      <c r="G31" t="s">
        <v>189</v>
      </c>
      <c r="H31" s="27" t="s">
        <v>118</v>
      </c>
      <c r="I31" s="229">
        <v>951</v>
      </c>
    </row>
    <row r="32" spans="1:14" x14ac:dyDescent="0.25">
      <c r="B32" s="48" t="s">
        <v>180</v>
      </c>
      <c r="C32" s="93" t="s">
        <v>187</v>
      </c>
      <c r="D32" s="229"/>
      <c r="E32" s="243"/>
      <c r="F32" s="16"/>
      <c r="G32" s="26" t="s">
        <v>227</v>
      </c>
      <c r="H32" s="27" t="s">
        <v>118</v>
      </c>
      <c r="I32" s="229"/>
    </row>
    <row r="33" spans="1:10" x14ac:dyDescent="0.25">
      <c r="A33" s="16" t="s">
        <v>46</v>
      </c>
      <c r="B33" s="48" t="s">
        <v>165</v>
      </c>
      <c r="C33" s="48" t="s">
        <v>171</v>
      </c>
      <c r="D33" s="229">
        <v>1054</v>
      </c>
      <c r="F33" s="16" t="s">
        <v>46</v>
      </c>
      <c r="G33" s="26" t="s">
        <v>172</v>
      </c>
      <c r="H33" s="26" t="s">
        <v>211</v>
      </c>
      <c r="I33" s="229">
        <v>933</v>
      </c>
      <c r="J33" s="241"/>
    </row>
    <row r="34" spans="1:10" x14ac:dyDescent="0.25">
      <c r="B34" s="48" t="s">
        <v>170</v>
      </c>
      <c r="C34" s="48" t="s">
        <v>171</v>
      </c>
      <c r="D34" s="229"/>
      <c r="F34" s="16"/>
      <c r="G34" s="48" t="s">
        <v>213</v>
      </c>
      <c r="H34" s="26" t="s">
        <v>211</v>
      </c>
      <c r="I34" s="229"/>
      <c r="J34" s="241"/>
    </row>
    <row r="35" spans="1:10" x14ac:dyDescent="0.25">
      <c r="A35" s="16" t="s">
        <v>47</v>
      </c>
      <c r="B35" s="26" t="s">
        <v>31</v>
      </c>
      <c r="C35" s="59" t="s">
        <v>101</v>
      </c>
      <c r="D35" s="229">
        <v>1044</v>
      </c>
      <c r="E35" s="243"/>
      <c r="F35" s="16" t="s">
        <v>47</v>
      </c>
      <c r="G35" s="48" t="s">
        <v>225</v>
      </c>
      <c r="H35" s="27" t="s">
        <v>118</v>
      </c>
      <c r="I35" s="229">
        <v>932</v>
      </c>
    </row>
    <row r="36" spans="1:10" x14ac:dyDescent="0.25">
      <c r="B36" s="26" t="s">
        <v>204</v>
      </c>
      <c r="C36" s="59" t="s">
        <v>101</v>
      </c>
      <c r="D36" s="229"/>
      <c r="E36" s="243"/>
      <c r="F36" s="16"/>
      <c r="G36" s="48" t="s">
        <v>226</v>
      </c>
      <c r="H36" s="27" t="s">
        <v>118</v>
      </c>
      <c r="I36" s="229"/>
    </row>
    <row r="37" spans="1:10" x14ac:dyDescent="0.25">
      <c r="A37" s="16" t="s">
        <v>48</v>
      </c>
      <c r="B37" s="26" t="s">
        <v>34</v>
      </c>
      <c r="C37" s="59" t="s">
        <v>101</v>
      </c>
      <c r="D37" s="229">
        <v>1034</v>
      </c>
      <c r="E37" s="243"/>
      <c r="F37" s="16" t="s">
        <v>48</v>
      </c>
      <c r="G37" s="26" t="s">
        <v>209</v>
      </c>
      <c r="H37" s="26" t="s">
        <v>207</v>
      </c>
      <c r="I37" s="229">
        <v>896</v>
      </c>
    </row>
    <row r="38" spans="1:10" x14ac:dyDescent="0.25">
      <c r="B38" s="26" t="s">
        <v>33</v>
      </c>
      <c r="C38" s="59" t="s">
        <v>101</v>
      </c>
      <c r="D38" s="229"/>
      <c r="E38" s="243"/>
      <c r="F38" s="16"/>
      <c r="G38" s="26" t="s">
        <v>210</v>
      </c>
      <c r="H38" s="26" t="s">
        <v>207</v>
      </c>
      <c r="I38" s="229"/>
    </row>
    <row r="39" spans="1:10" x14ac:dyDescent="0.25">
      <c r="F39" s="16"/>
    </row>
    <row r="41" spans="1:10" x14ac:dyDescent="0.25">
      <c r="F41" s="14"/>
    </row>
    <row r="43" spans="1:10" x14ac:dyDescent="0.25">
      <c r="G43" s="48"/>
      <c r="H43" s="93"/>
    </row>
    <row r="44" spans="1:10" x14ac:dyDescent="0.25">
      <c r="G44" s="26"/>
      <c r="H44" s="93"/>
    </row>
    <row r="45" spans="1:10" x14ac:dyDescent="0.25">
      <c r="D45" s="229"/>
    </row>
    <row r="46" spans="1:10" x14ac:dyDescent="0.25">
      <c r="B46" s="26"/>
      <c r="C46" s="26"/>
      <c r="D46" s="229"/>
      <c r="G46" s="48"/>
      <c r="H46" s="93"/>
    </row>
    <row r="47" spans="1:10" x14ac:dyDescent="0.25">
      <c r="G47" s="48"/>
      <c r="H47" s="93"/>
    </row>
    <row r="59" spans="2:4" x14ac:dyDescent="0.25">
      <c r="B59" s="26"/>
      <c r="C59" s="26"/>
      <c r="D59" s="229"/>
    </row>
    <row r="60" spans="2:4" x14ac:dyDescent="0.25">
      <c r="B60" s="26"/>
      <c r="C60" s="26"/>
      <c r="D60" s="229"/>
    </row>
    <row r="61" spans="2:4" x14ac:dyDescent="0.25">
      <c r="B61" s="26"/>
      <c r="C61" s="59"/>
      <c r="D61" s="229"/>
    </row>
    <row r="62" spans="2:4" x14ac:dyDescent="0.25">
      <c r="B62" s="26"/>
      <c r="C62" s="59"/>
      <c r="D62" s="229"/>
    </row>
    <row r="63" spans="2:4" x14ac:dyDescent="0.25">
      <c r="B63" s="75"/>
      <c r="C63" s="75"/>
    </row>
    <row r="64" spans="2:4" x14ac:dyDescent="0.25">
      <c r="B64" s="75"/>
      <c r="C64" s="75"/>
    </row>
  </sheetData>
  <mergeCells count="53">
    <mergeCell ref="N7:N8"/>
    <mergeCell ref="D9:D10"/>
    <mergeCell ref="I31:I32"/>
    <mergeCell ref="I35:I36"/>
    <mergeCell ref="I33:I34"/>
    <mergeCell ref="N9:N10"/>
    <mergeCell ref="I11:I12"/>
    <mergeCell ref="I19:I20"/>
    <mergeCell ref="E35:E36"/>
    <mergeCell ref="N17:N18"/>
    <mergeCell ref="N11:N12"/>
    <mergeCell ref="J19:J20"/>
    <mergeCell ref="I9:I10"/>
    <mergeCell ref="I15:I16"/>
    <mergeCell ref="I7:I8"/>
    <mergeCell ref="N13:N14"/>
    <mergeCell ref="E37:E38"/>
    <mergeCell ref="E31:E32"/>
    <mergeCell ref="E29:E30"/>
    <mergeCell ref="I37:I38"/>
    <mergeCell ref="I23:I24"/>
    <mergeCell ref="N19:N20"/>
    <mergeCell ref="N15:N16"/>
    <mergeCell ref="N21:N22"/>
    <mergeCell ref="I21:I22"/>
    <mergeCell ref="I13:I14"/>
    <mergeCell ref="J33:J34"/>
    <mergeCell ref="I25:I26"/>
    <mergeCell ref="D35:D36"/>
    <mergeCell ref="I17:I18"/>
    <mergeCell ref="I29:I30"/>
    <mergeCell ref="I27:I28"/>
    <mergeCell ref="D19:D20"/>
    <mergeCell ref="D27:D28"/>
    <mergeCell ref="J17:J18"/>
    <mergeCell ref="E25:E26"/>
    <mergeCell ref="D31:D32"/>
    <mergeCell ref="J27:J28"/>
    <mergeCell ref="J29:J30"/>
    <mergeCell ref="D15:D16"/>
    <mergeCell ref="D23:D24"/>
    <mergeCell ref="D33:D34"/>
    <mergeCell ref="D17:D18"/>
    <mergeCell ref="D7:D8"/>
    <mergeCell ref="D11:D12"/>
    <mergeCell ref="D21:D22"/>
    <mergeCell ref="D13:D14"/>
    <mergeCell ref="D37:D38"/>
    <mergeCell ref="D61:D62"/>
    <mergeCell ref="D45:D46"/>
    <mergeCell ref="D29:D30"/>
    <mergeCell ref="D25:D26"/>
    <mergeCell ref="D59:D60"/>
  </mergeCells>
  <pageMargins left="0.7" right="0.7" top="0.75" bottom="0.75" header="0.3" footer="0.3"/>
  <pageSetup paperSize="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72"/>
  <sheetViews>
    <sheetView topLeftCell="A4" zoomScaleNormal="100" workbookViewId="0">
      <selection activeCell="P16" sqref="P16"/>
    </sheetView>
  </sheetViews>
  <sheetFormatPr defaultRowHeight="15" x14ac:dyDescent="0.25"/>
  <cols>
    <col min="1" max="1" width="3.140625" style="16" customWidth="1"/>
    <col min="2" max="2" width="16.7109375" customWidth="1"/>
    <col min="3" max="3" width="16" customWidth="1"/>
    <col min="4" max="4" width="5.5703125" style="17" customWidth="1"/>
    <col min="5" max="5" width="3.7109375" style="50" customWidth="1"/>
    <col min="6" max="6" width="3" customWidth="1"/>
    <col min="7" max="7" width="18.140625" customWidth="1"/>
    <col min="8" max="8" width="15.85546875" customWidth="1"/>
    <col min="9" max="9" width="6.42578125" style="17" customWidth="1"/>
    <col min="10" max="10" width="3.5703125" style="17" customWidth="1"/>
    <col min="11" max="11" width="2.85546875" customWidth="1"/>
    <col min="12" max="12" width="20.5703125" customWidth="1"/>
    <col min="13" max="13" width="14.42578125" customWidth="1"/>
    <col min="14" max="14" width="6.28515625" style="17" customWidth="1"/>
  </cols>
  <sheetData>
    <row r="1" spans="1:14" ht="18.75" x14ac:dyDescent="0.3">
      <c r="B1" s="10" t="s">
        <v>228</v>
      </c>
    </row>
    <row r="2" spans="1:14" ht="3" customHeight="1" x14ac:dyDescent="0.25"/>
    <row r="3" spans="1:14" x14ac:dyDescent="0.25">
      <c r="B3" s="12" t="s">
        <v>55</v>
      </c>
    </row>
    <row r="4" spans="1:14" ht="1.5" customHeight="1" x14ac:dyDescent="0.25"/>
    <row r="5" spans="1:14" ht="13.5" customHeight="1" x14ac:dyDescent="0.25">
      <c r="C5" s="14" t="s">
        <v>38</v>
      </c>
      <c r="E5" s="88"/>
      <c r="F5" s="15"/>
      <c r="G5" s="15"/>
      <c r="H5" s="14" t="s">
        <v>53</v>
      </c>
      <c r="K5" s="15"/>
      <c r="L5" s="15"/>
      <c r="M5" s="14" t="s">
        <v>54</v>
      </c>
    </row>
    <row r="6" spans="1:14" ht="3" customHeight="1" x14ac:dyDescent="0.25">
      <c r="B6" s="26"/>
      <c r="C6" s="26"/>
    </row>
    <row r="7" spans="1:14" x14ac:dyDescent="0.25">
      <c r="A7" s="16" t="s">
        <v>0</v>
      </c>
      <c r="B7" s="48" t="s">
        <v>88</v>
      </c>
      <c r="C7" s="48" t="s">
        <v>190</v>
      </c>
      <c r="D7" s="229">
        <v>998</v>
      </c>
      <c r="F7" s="16" t="s">
        <v>0</v>
      </c>
      <c r="G7" s="26" t="s">
        <v>135</v>
      </c>
      <c r="H7" s="131" t="s">
        <v>131</v>
      </c>
      <c r="I7" s="229">
        <v>925</v>
      </c>
      <c r="K7" s="16" t="s">
        <v>0</v>
      </c>
      <c r="L7" s="26" t="s">
        <v>64</v>
      </c>
      <c r="M7" s="26" t="s">
        <v>63</v>
      </c>
      <c r="N7" s="229">
        <v>895</v>
      </c>
    </row>
    <row r="8" spans="1:14" x14ac:dyDescent="0.25">
      <c r="B8" s="48" t="s">
        <v>180</v>
      </c>
      <c r="C8" s="48" t="s">
        <v>190</v>
      </c>
      <c r="D8" s="229"/>
      <c r="F8" s="16"/>
      <c r="G8" s="26" t="s">
        <v>132</v>
      </c>
      <c r="H8" s="131" t="s">
        <v>131</v>
      </c>
      <c r="I8" s="229"/>
      <c r="K8" s="16"/>
      <c r="L8" s="48" t="s">
        <v>177</v>
      </c>
      <c r="M8" s="26" t="s">
        <v>63</v>
      </c>
      <c r="N8" s="229"/>
    </row>
    <row r="9" spans="1:14" x14ac:dyDescent="0.25">
      <c r="A9" s="16" t="s">
        <v>9</v>
      </c>
      <c r="B9" s="48" t="s">
        <v>202</v>
      </c>
      <c r="C9" s="48" t="s">
        <v>171</v>
      </c>
      <c r="D9" s="229">
        <v>993</v>
      </c>
      <c r="F9" s="16" t="s">
        <v>9</v>
      </c>
      <c r="G9" s="26" t="s">
        <v>212</v>
      </c>
      <c r="H9" s="26" t="s">
        <v>211</v>
      </c>
      <c r="I9" s="229">
        <v>900</v>
      </c>
      <c r="K9" s="16" t="s">
        <v>9</v>
      </c>
      <c r="L9" t="s">
        <v>26</v>
      </c>
      <c r="M9" t="s">
        <v>19</v>
      </c>
      <c r="N9" s="229">
        <v>875</v>
      </c>
    </row>
    <row r="10" spans="1:14" x14ac:dyDescent="0.25">
      <c r="B10" s="48" t="s">
        <v>114</v>
      </c>
      <c r="C10" s="48" t="s">
        <v>171</v>
      </c>
      <c r="D10" s="229"/>
      <c r="F10" s="16"/>
      <c r="G10" s="48" t="s">
        <v>213</v>
      </c>
      <c r="H10" s="26" t="s">
        <v>211</v>
      </c>
      <c r="I10" s="229"/>
      <c r="K10" s="16"/>
      <c r="L10" t="s">
        <v>27</v>
      </c>
      <c r="M10" t="s">
        <v>19</v>
      </c>
      <c r="N10" s="229"/>
    </row>
    <row r="11" spans="1:14" x14ac:dyDescent="0.25">
      <c r="A11" s="16" t="s">
        <v>10</v>
      </c>
      <c r="B11" s="26" t="s">
        <v>30</v>
      </c>
      <c r="C11" s="26" t="s">
        <v>128</v>
      </c>
      <c r="D11" s="229">
        <v>970</v>
      </c>
      <c r="F11" s="16" t="s">
        <v>10</v>
      </c>
      <c r="G11" s="80" t="s">
        <v>20</v>
      </c>
      <c r="H11" s="80" t="s">
        <v>18</v>
      </c>
      <c r="I11" s="229">
        <v>899</v>
      </c>
      <c r="K11" s="16" t="s">
        <v>10</v>
      </c>
      <c r="L11" s="26" t="s">
        <v>57</v>
      </c>
      <c r="M11" s="26" t="s">
        <v>18</v>
      </c>
      <c r="N11" s="229">
        <v>866</v>
      </c>
    </row>
    <row r="12" spans="1:14" x14ac:dyDescent="0.25">
      <c r="B12" s="26" t="s">
        <v>32</v>
      </c>
      <c r="C12" s="26" t="s">
        <v>128</v>
      </c>
      <c r="D12" s="229"/>
      <c r="F12" s="16"/>
      <c r="G12" s="26" t="s">
        <v>23</v>
      </c>
      <c r="H12" s="80" t="s">
        <v>18</v>
      </c>
      <c r="I12" s="229"/>
      <c r="K12" s="16"/>
      <c r="L12" s="26" t="s">
        <v>97</v>
      </c>
      <c r="M12" s="26" t="s">
        <v>18</v>
      </c>
      <c r="N12" s="229"/>
    </row>
    <row r="13" spans="1:14" x14ac:dyDescent="0.25">
      <c r="A13" s="16" t="s">
        <v>11</v>
      </c>
      <c r="B13" s="26" t="s">
        <v>56</v>
      </c>
      <c r="C13" s="26" t="s">
        <v>128</v>
      </c>
      <c r="D13" s="229">
        <v>968</v>
      </c>
      <c r="F13" s="16" t="s">
        <v>11</v>
      </c>
      <c r="G13" s="80" t="s">
        <v>21</v>
      </c>
      <c r="H13" s="26" t="s">
        <v>18</v>
      </c>
      <c r="I13" s="229">
        <v>887</v>
      </c>
      <c r="K13" s="16" t="s">
        <v>11</v>
      </c>
      <c r="L13" s="48" t="s">
        <v>195</v>
      </c>
      <c r="M13" s="26" t="s">
        <v>192</v>
      </c>
      <c r="N13" s="229">
        <v>776</v>
      </c>
    </row>
    <row r="14" spans="1:14" x14ac:dyDescent="0.25">
      <c r="B14" s="26" t="s">
        <v>36</v>
      </c>
      <c r="C14" s="26" t="s">
        <v>128</v>
      </c>
      <c r="D14" s="229"/>
      <c r="F14" s="16"/>
      <c r="G14" s="80" t="s">
        <v>17</v>
      </c>
      <c r="H14" s="26" t="s">
        <v>18</v>
      </c>
      <c r="I14" s="229"/>
      <c r="K14" s="16"/>
      <c r="L14" s="26" t="s">
        <v>196</v>
      </c>
      <c r="M14" s="26" t="s">
        <v>192</v>
      </c>
      <c r="N14" s="229"/>
    </row>
    <row r="15" spans="1:14" x14ac:dyDescent="0.25">
      <c r="A15" s="16" t="s">
        <v>12</v>
      </c>
      <c r="B15" s="48" t="s">
        <v>141</v>
      </c>
      <c r="C15" s="48" t="s">
        <v>190</v>
      </c>
      <c r="D15" s="229">
        <v>964</v>
      </c>
      <c r="F15" s="16" t="s">
        <v>12</v>
      </c>
      <c r="G15" s="26" t="s">
        <v>163</v>
      </c>
      <c r="H15" s="26" t="s">
        <v>161</v>
      </c>
      <c r="I15" s="229">
        <v>872</v>
      </c>
      <c r="J15" s="242"/>
      <c r="K15" s="16" t="s">
        <v>12</v>
      </c>
      <c r="L15" t="s">
        <v>28</v>
      </c>
      <c r="M15" t="s">
        <v>19</v>
      </c>
      <c r="N15" s="229">
        <v>752</v>
      </c>
    </row>
    <row r="16" spans="1:14" x14ac:dyDescent="0.25">
      <c r="B16" s="48" t="s">
        <v>87</v>
      </c>
      <c r="C16" s="48" t="s">
        <v>190</v>
      </c>
      <c r="D16" s="229"/>
      <c r="F16" s="16"/>
      <c r="G16" s="26" t="s">
        <v>162</v>
      </c>
      <c r="H16" s="26" t="s">
        <v>161</v>
      </c>
      <c r="I16" s="229"/>
      <c r="J16" s="242"/>
      <c r="K16" s="16"/>
      <c r="L16" t="s">
        <v>201</v>
      </c>
      <c r="M16" t="s">
        <v>19</v>
      </c>
      <c r="N16" s="229"/>
    </row>
    <row r="17" spans="1:14" x14ac:dyDescent="0.25">
      <c r="A17" s="16" t="s">
        <v>13</v>
      </c>
      <c r="B17" s="26" t="s">
        <v>78</v>
      </c>
      <c r="C17" s="26" t="s">
        <v>129</v>
      </c>
      <c r="D17" s="229">
        <v>941</v>
      </c>
      <c r="F17" s="16" t="s">
        <v>13</v>
      </c>
      <c r="G17" s="26" t="s">
        <v>153</v>
      </c>
      <c r="H17" s="26" t="s">
        <v>161</v>
      </c>
      <c r="I17" s="229">
        <v>869</v>
      </c>
      <c r="J17" s="242"/>
      <c r="K17" s="16" t="s">
        <v>13</v>
      </c>
      <c r="L17" s="26" t="s">
        <v>193</v>
      </c>
      <c r="M17" s="26" t="s">
        <v>192</v>
      </c>
      <c r="N17" s="229">
        <v>722</v>
      </c>
    </row>
    <row r="18" spans="1:14" x14ac:dyDescent="0.25">
      <c r="B18" s="26" t="s">
        <v>79</v>
      </c>
      <c r="C18" s="26" t="s">
        <v>129</v>
      </c>
      <c r="D18" s="229"/>
      <c r="F18" s="16"/>
      <c r="G18" s="26" t="s">
        <v>160</v>
      </c>
      <c r="H18" s="26" t="s">
        <v>161</v>
      </c>
      <c r="I18" s="229"/>
      <c r="J18" s="242"/>
      <c r="K18" s="16"/>
      <c r="L18" s="26" t="s">
        <v>194</v>
      </c>
      <c r="M18" s="26" t="s">
        <v>192</v>
      </c>
      <c r="N18" s="229"/>
    </row>
    <row r="19" spans="1:14" x14ac:dyDescent="0.25">
      <c r="A19" s="16" t="s">
        <v>39</v>
      </c>
      <c r="B19" s="26" t="s">
        <v>173</v>
      </c>
      <c r="C19" s="26" t="s">
        <v>175</v>
      </c>
      <c r="D19" s="229">
        <v>928</v>
      </c>
      <c r="F19" s="16" t="s">
        <v>39</v>
      </c>
      <c r="G19" s="26" t="s">
        <v>65</v>
      </c>
      <c r="H19" s="26" t="s">
        <v>63</v>
      </c>
      <c r="I19" s="229">
        <v>837</v>
      </c>
      <c r="K19" s="16" t="s">
        <v>39</v>
      </c>
      <c r="L19" s="26" t="s">
        <v>243</v>
      </c>
      <c r="M19" s="26" t="s">
        <v>18</v>
      </c>
      <c r="N19" s="229">
        <v>703</v>
      </c>
    </row>
    <row r="20" spans="1:14" x14ac:dyDescent="0.25">
      <c r="B20" s="26" t="s">
        <v>242</v>
      </c>
      <c r="C20" s="26" t="s">
        <v>175</v>
      </c>
      <c r="D20" s="229"/>
      <c r="F20" s="16"/>
      <c r="G20" s="26" t="s">
        <v>178</v>
      </c>
      <c r="H20" s="26" t="s">
        <v>63</v>
      </c>
      <c r="I20" s="229"/>
      <c r="K20" s="16"/>
      <c r="L20" s="26" t="s">
        <v>96</v>
      </c>
      <c r="M20" s="26" t="s">
        <v>18</v>
      </c>
      <c r="N20" s="229"/>
    </row>
    <row r="21" spans="1:14" x14ac:dyDescent="0.25">
      <c r="A21" s="16" t="s">
        <v>40</v>
      </c>
      <c r="B21" s="26" t="s">
        <v>174</v>
      </c>
      <c r="C21" s="26" t="s">
        <v>175</v>
      </c>
      <c r="D21" s="229">
        <v>926</v>
      </c>
      <c r="F21" s="16" t="s">
        <v>40</v>
      </c>
      <c r="G21" s="26" t="s">
        <v>130</v>
      </c>
      <c r="H21" s="131" t="s">
        <v>133</v>
      </c>
      <c r="I21" s="229">
        <v>833</v>
      </c>
    </row>
    <row r="22" spans="1:14" x14ac:dyDescent="0.25">
      <c r="B22" s="26" t="s">
        <v>155</v>
      </c>
      <c r="C22" s="26" t="s">
        <v>175</v>
      </c>
      <c r="D22" s="229"/>
      <c r="F22" s="16"/>
      <c r="G22" s="48" t="s">
        <v>154</v>
      </c>
      <c r="H22" s="124" t="s">
        <v>133</v>
      </c>
      <c r="I22" s="229"/>
    </row>
    <row r="23" spans="1:14" x14ac:dyDescent="0.25">
      <c r="A23" s="16" t="s">
        <v>41</v>
      </c>
      <c r="B23" s="48" t="s">
        <v>86</v>
      </c>
      <c r="C23" s="48" t="s">
        <v>190</v>
      </c>
      <c r="D23" s="229">
        <v>919</v>
      </c>
      <c r="F23" s="16" t="s">
        <v>41</v>
      </c>
      <c r="G23" s="48" t="s">
        <v>136</v>
      </c>
      <c r="H23" s="48" t="s">
        <v>131</v>
      </c>
      <c r="I23" s="229">
        <v>816</v>
      </c>
    </row>
    <row r="24" spans="1:14" x14ac:dyDescent="0.25">
      <c r="B24" s="48" t="s">
        <v>232</v>
      </c>
      <c r="C24" s="48" t="s">
        <v>233</v>
      </c>
      <c r="D24" s="229"/>
      <c r="F24" s="16"/>
      <c r="G24" s="26" t="s">
        <v>137</v>
      </c>
      <c r="H24" s="48" t="s">
        <v>131</v>
      </c>
      <c r="I24" s="229"/>
    </row>
    <row r="25" spans="1:14" x14ac:dyDescent="0.25">
      <c r="A25" s="16" t="s">
        <v>42</v>
      </c>
      <c r="B25" s="26" t="s">
        <v>59</v>
      </c>
      <c r="C25" s="26" t="s">
        <v>139</v>
      </c>
      <c r="D25" s="229">
        <v>914</v>
      </c>
      <c r="F25" s="16" t="s">
        <v>42</v>
      </c>
      <c r="G25" t="s">
        <v>24</v>
      </c>
      <c r="H25" s="131" t="s">
        <v>168</v>
      </c>
      <c r="I25" s="229">
        <v>815</v>
      </c>
    </row>
    <row r="26" spans="1:14" x14ac:dyDescent="0.25">
      <c r="B26" s="26" t="s">
        <v>60</v>
      </c>
      <c r="C26" s="26" t="s">
        <v>139</v>
      </c>
      <c r="D26" s="229"/>
      <c r="F26" s="16"/>
      <c r="G26" t="s">
        <v>25</v>
      </c>
      <c r="H26" s="131" t="s">
        <v>168</v>
      </c>
      <c r="I26" s="229"/>
    </row>
    <row r="27" spans="1:14" x14ac:dyDescent="0.25">
      <c r="A27" s="16" t="s">
        <v>43</v>
      </c>
      <c r="B27" s="26" t="s">
        <v>138</v>
      </c>
      <c r="C27" s="26" t="s">
        <v>240</v>
      </c>
      <c r="D27" s="229">
        <v>895</v>
      </c>
      <c r="F27" s="16" t="s">
        <v>43</v>
      </c>
      <c r="G27" s="48" t="s">
        <v>167</v>
      </c>
      <c r="H27" s="131" t="s">
        <v>168</v>
      </c>
      <c r="I27" s="229">
        <v>809</v>
      </c>
      <c r="J27" s="241"/>
    </row>
    <row r="28" spans="1:14" x14ac:dyDescent="0.25">
      <c r="B28" s="26" t="s">
        <v>239</v>
      </c>
      <c r="C28" s="26" t="s">
        <v>240</v>
      </c>
      <c r="D28" s="229"/>
      <c r="F28" s="16"/>
      <c r="G28" s="48" t="s">
        <v>234</v>
      </c>
      <c r="H28" s="131" t="s">
        <v>168</v>
      </c>
      <c r="I28" s="229"/>
      <c r="J28" s="241"/>
    </row>
    <row r="29" spans="1:14" x14ac:dyDescent="0.25">
      <c r="A29" s="16" t="s">
        <v>44</v>
      </c>
      <c r="B29" s="48" t="s">
        <v>22</v>
      </c>
      <c r="C29" t="s">
        <v>100</v>
      </c>
      <c r="D29" s="229">
        <v>893</v>
      </c>
      <c r="F29" s="16" t="s">
        <v>44</v>
      </c>
      <c r="G29" s="26" t="s">
        <v>214</v>
      </c>
      <c r="H29" s="26" t="s">
        <v>211</v>
      </c>
      <c r="I29" s="229">
        <v>786</v>
      </c>
      <c r="J29" s="241"/>
    </row>
    <row r="30" spans="1:14" x14ac:dyDescent="0.25">
      <c r="B30" t="s">
        <v>126</v>
      </c>
      <c r="C30" t="s">
        <v>100</v>
      </c>
      <c r="D30" s="229"/>
      <c r="F30" s="16"/>
      <c r="G30" s="26" t="s">
        <v>215</v>
      </c>
      <c r="H30" s="26" t="s">
        <v>211</v>
      </c>
      <c r="I30" s="229"/>
      <c r="J30" s="241"/>
    </row>
    <row r="31" spans="1:14" x14ac:dyDescent="0.25">
      <c r="A31" s="16" t="s">
        <v>45</v>
      </c>
      <c r="B31" s="26" t="s">
        <v>124</v>
      </c>
      <c r="C31" s="26" t="s">
        <v>127</v>
      </c>
      <c r="D31" s="229">
        <v>885</v>
      </c>
      <c r="F31" s="16" t="s">
        <v>45</v>
      </c>
      <c r="G31" s="26" t="s">
        <v>206</v>
      </c>
      <c r="H31" s="26" t="s">
        <v>207</v>
      </c>
      <c r="I31" s="229">
        <v>766</v>
      </c>
      <c r="J31" s="116">
        <v>237</v>
      </c>
    </row>
    <row r="32" spans="1:14" x14ac:dyDescent="0.25">
      <c r="B32" s="48" t="s">
        <v>125</v>
      </c>
      <c r="C32" s="26" t="s">
        <v>127</v>
      </c>
      <c r="D32" s="229"/>
      <c r="F32" s="16"/>
      <c r="G32" s="48" t="s">
        <v>237</v>
      </c>
      <c r="H32" s="26" t="s">
        <v>207</v>
      </c>
      <c r="I32" s="229"/>
    </row>
    <row r="33" spans="1:10" x14ac:dyDescent="0.25">
      <c r="A33" s="16" t="s">
        <v>46</v>
      </c>
      <c r="B33" s="48" t="s">
        <v>165</v>
      </c>
      <c r="C33" s="48" t="s">
        <v>171</v>
      </c>
      <c r="D33" s="229">
        <v>882</v>
      </c>
      <c r="F33" s="16" t="s">
        <v>46</v>
      </c>
      <c r="G33" s="26" t="s">
        <v>182</v>
      </c>
      <c r="H33" s="131" t="s">
        <v>168</v>
      </c>
      <c r="I33" s="229">
        <v>766</v>
      </c>
      <c r="J33" s="116">
        <v>212</v>
      </c>
    </row>
    <row r="34" spans="1:10" x14ac:dyDescent="0.25">
      <c r="B34" s="48" t="s">
        <v>170</v>
      </c>
      <c r="C34" s="48" t="s">
        <v>171</v>
      </c>
      <c r="D34" s="229"/>
      <c r="F34" s="16"/>
      <c r="G34" s="26" t="s">
        <v>117</v>
      </c>
      <c r="H34" s="131" t="s">
        <v>168</v>
      </c>
      <c r="I34" s="229"/>
    </row>
    <row r="35" spans="1:10" x14ac:dyDescent="0.25">
      <c r="A35" s="16" t="s">
        <v>47</v>
      </c>
      <c r="B35" s="26" t="s">
        <v>241</v>
      </c>
      <c r="C35" s="26" t="s">
        <v>240</v>
      </c>
      <c r="D35" s="229">
        <v>866</v>
      </c>
      <c r="F35" s="16" t="s">
        <v>47</v>
      </c>
      <c r="G35" s="48" t="s">
        <v>235</v>
      </c>
      <c r="H35" s="131" t="s">
        <v>168</v>
      </c>
      <c r="I35" s="229">
        <v>752</v>
      </c>
      <c r="J35" s="241"/>
    </row>
    <row r="36" spans="1:10" x14ac:dyDescent="0.25">
      <c r="B36" s="26" t="s">
        <v>238</v>
      </c>
      <c r="C36" s="26" t="s">
        <v>240</v>
      </c>
      <c r="D36" s="229"/>
      <c r="F36" s="16"/>
      <c r="G36" s="48" t="s">
        <v>181</v>
      </c>
      <c r="H36" s="131" t="s">
        <v>168</v>
      </c>
      <c r="I36" s="229"/>
      <c r="J36" s="241"/>
    </row>
    <row r="37" spans="1:10" x14ac:dyDescent="0.25">
      <c r="A37" s="16" t="s">
        <v>48</v>
      </c>
      <c r="B37" s="26" t="s">
        <v>34</v>
      </c>
      <c r="C37" s="59" t="s">
        <v>101</v>
      </c>
      <c r="D37" s="229">
        <v>850</v>
      </c>
      <c r="E37" s="50">
        <v>290</v>
      </c>
      <c r="F37" s="16" t="s">
        <v>48</v>
      </c>
      <c r="G37" s="26" t="s">
        <v>151</v>
      </c>
      <c r="H37" s="131" t="s">
        <v>168</v>
      </c>
      <c r="I37" s="229">
        <v>746</v>
      </c>
    </row>
    <row r="38" spans="1:10" x14ac:dyDescent="0.25">
      <c r="B38" s="26" t="s">
        <v>33</v>
      </c>
      <c r="C38" s="59" t="s">
        <v>101</v>
      </c>
      <c r="D38" s="229"/>
      <c r="F38" s="16"/>
      <c r="G38" s="26" t="s">
        <v>115</v>
      </c>
      <c r="H38" s="131" t="s">
        <v>168</v>
      </c>
      <c r="I38" s="229"/>
    </row>
    <row r="39" spans="1:10" x14ac:dyDescent="0.25">
      <c r="A39" s="16" t="s">
        <v>49</v>
      </c>
      <c r="B39" t="s">
        <v>176</v>
      </c>
      <c r="C39" s="26" t="s">
        <v>127</v>
      </c>
      <c r="D39" s="229">
        <v>850</v>
      </c>
      <c r="E39" s="50">
        <v>258</v>
      </c>
      <c r="F39" s="16" t="s">
        <v>49</v>
      </c>
      <c r="G39" s="26" t="s">
        <v>152</v>
      </c>
      <c r="H39" s="131" t="s">
        <v>168</v>
      </c>
      <c r="I39" s="229">
        <v>729</v>
      </c>
    </row>
    <row r="40" spans="1:10" x14ac:dyDescent="0.25">
      <c r="B40" s="26" t="s">
        <v>99</v>
      </c>
      <c r="C40" s="26" t="s">
        <v>127</v>
      </c>
      <c r="D40" s="229"/>
      <c r="F40" s="16"/>
      <c r="G40" s="48" t="s">
        <v>205</v>
      </c>
      <c r="H40" s="131" t="s">
        <v>168</v>
      </c>
      <c r="I40" s="229"/>
    </row>
    <row r="41" spans="1:10" x14ac:dyDescent="0.25">
      <c r="A41" s="16" t="s">
        <v>50</v>
      </c>
      <c r="B41" s="26" t="s">
        <v>83</v>
      </c>
      <c r="C41" s="26" t="s">
        <v>129</v>
      </c>
      <c r="D41" s="229">
        <v>838</v>
      </c>
      <c r="F41" s="16" t="s">
        <v>50</v>
      </c>
      <c r="G41" s="48" t="s">
        <v>208</v>
      </c>
      <c r="H41" s="26" t="s">
        <v>207</v>
      </c>
      <c r="I41" s="229">
        <v>710</v>
      </c>
    </row>
    <row r="42" spans="1:10" x14ac:dyDescent="0.25">
      <c r="B42" s="26" t="s">
        <v>84</v>
      </c>
      <c r="C42" s="26" t="s">
        <v>129</v>
      </c>
      <c r="D42" s="229"/>
      <c r="F42" s="16"/>
      <c r="G42" s="26" t="s">
        <v>210</v>
      </c>
      <c r="H42" s="26" t="s">
        <v>207</v>
      </c>
      <c r="I42" s="229"/>
    </row>
    <row r="43" spans="1:10" x14ac:dyDescent="0.25">
      <c r="A43" s="16" t="s">
        <v>51</v>
      </c>
      <c r="B43" s="48" t="s">
        <v>200</v>
      </c>
      <c r="C43" t="s">
        <v>100</v>
      </c>
      <c r="D43" s="229">
        <v>837</v>
      </c>
      <c r="F43" s="16" t="s">
        <v>51</v>
      </c>
      <c r="G43" s="26" t="s">
        <v>164</v>
      </c>
      <c r="H43" s="48" t="s">
        <v>133</v>
      </c>
      <c r="I43" s="229">
        <v>606</v>
      </c>
    </row>
    <row r="44" spans="1:10" x14ac:dyDescent="0.25">
      <c r="B44" s="26" t="s">
        <v>16</v>
      </c>
      <c r="C44" s="26" t="s">
        <v>100</v>
      </c>
      <c r="D44" s="229"/>
      <c r="G44" s="48" t="s">
        <v>134</v>
      </c>
      <c r="H44" s="48" t="s">
        <v>133</v>
      </c>
      <c r="I44" s="229"/>
    </row>
    <row r="45" spans="1:10" x14ac:dyDescent="0.25">
      <c r="A45" s="16" t="s">
        <v>52</v>
      </c>
      <c r="B45" s="26" t="s">
        <v>236</v>
      </c>
      <c r="C45" s="26" t="s">
        <v>139</v>
      </c>
      <c r="D45" s="229">
        <v>827</v>
      </c>
    </row>
    <row r="46" spans="1:10" x14ac:dyDescent="0.25">
      <c r="B46" s="26" t="s">
        <v>62</v>
      </c>
      <c r="C46" s="26" t="s">
        <v>139</v>
      </c>
      <c r="D46" s="229"/>
    </row>
    <row r="47" spans="1:10" x14ac:dyDescent="0.25">
      <c r="A47" s="16" t="s">
        <v>66</v>
      </c>
      <c r="B47" s="48" t="s">
        <v>199</v>
      </c>
      <c r="C47" s="48" t="s">
        <v>113</v>
      </c>
      <c r="D47" s="229">
        <v>721</v>
      </c>
    </row>
    <row r="48" spans="1:10" x14ac:dyDescent="0.25">
      <c r="B48" s="48" t="s">
        <v>185</v>
      </c>
      <c r="C48" s="48" t="s">
        <v>113</v>
      </c>
      <c r="D48" s="229"/>
    </row>
    <row r="56" spans="2:3" x14ac:dyDescent="0.25">
      <c r="B56" s="26"/>
      <c r="C56" s="26"/>
    </row>
    <row r="57" spans="2:3" x14ac:dyDescent="0.25">
      <c r="B57" s="26"/>
      <c r="C57" s="26"/>
    </row>
    <row r="58" spans="2:3" x14ac:dyDescent="0.25">
      <c r="B58" s="26"/>
      <c r="C58" s="26"/>
    </row>
    <row r="65" spans="2:3" x14ac:dyDescent="0.25">
      <c r="B65" s="26"/>
      <c r="C65" s="26"/>
    </row>
    <row r="66" spans="2:3" x14ac:dyDescent="0.25">
      <c r="B66" s="26"/>
      <c r="C66" s="26"/>
    </row>
    <row r="67" spans="2:3" x14ac:dyDescent="0.25">
      <c r="B67" s="48"/>
      <c r="C67" s="48"/>
    </row>
    <row r="68" spans="2:3" x14ac:dyDescent="0.25">
      <c r="B68" s="48"/>
      <c r="C68" s="48"/>
    </row>
    <row r="71" spans="2:3" x14ac:dyDescent="0.25">
      <c r="B71" s="75"/>
      <c r="C71" s="75"/>
    </row>
    <row r="72" spans="2:3" x14ac:dyDescent="0.25">
      <c r="B72" s="75"/>
      <c r="C72" s="75"/>
    </row>
  </sheetData>
  <mergeCells count="52">
    <mergeCell ref="N19:N20"/>
    <mergeCell ref="D23:D24"/>
    <mergeCell ref="D9:D10"/>
    <mergeCell ref="D15:D16"/>
    <mergeCell ref="I43:I44"/>
    <mergeCell ref="I35:I36"/>
    <mergeCell ref="I23:I24"/>
    <mergeCell ref="I19:I20"/>
    <mergeCell ref="I27:I28"/>
    <mergeCell ref="I39:I40"/>
    <mergeCell ref="I33:I34"/>
    <mergeCell ref="D25:D26"/>
    <mergeCell ref="D35:D36"/>
    <mergeCell ref="D43:D44"/>
    <mergeCell ref="D33:D34"/>
    <mergeCell ref="D19:D20"/>
    <mergeCell ref="I7:I8"/>
    <mergeCell ref="I21:I22"/>
    <mergeCell ref="D7:D8"/>
    <mergeCell ref="D27:D28"/>
    <mergeCell ref="I9:I10"/>
    <mergeCell ref="D13:D14"/>
    <mergeCell ref="D11:D12"/>
    <mergeCell ref="I11:I12"/>
    <mergeCell ref="D47:D48"/>
    <mergeCell ref="D45:D46"/>
    <mergeCell ref="D31:D32"/>
    <mergeCell ref="D41:D42"/>
    <mergeCell ref="D21:D22"/>
    <mergeCell ref="J35:J36"/>
    <mergeCell ref="J29:J30"/>
    <mergeCell ref="J27:J28"/>
    <mergeCell ref="I25:I26"/>
    <mergeCell ref="D39:D40"/>
    <mergeCell ref="D29:D30"/>
    <mergeCell ref="D37:D38"/>
    <mergeCell ref="N7:N8"/>
    <mergeCell ref="N9:N10"/>
    <mergeCell ref="I41:I42"/>
    <mergeCell ref="D17:D18"/>
    <mergeCell ref="N11:N12"/>
    <mergeCell ref="N17:N18"/>
    <mergeCell ref="N15:N16"/>
    <mergeCell ref="I37:I38"/>
    <mergeCell ref="J17:J18"/>
    <mergeCell ref="I17:I18"/>
    <mergeCell ref="I31:I32"/>
    <mergeCell ref="I29:I30"/>
    <mergeCell ref="N13:N14"/>
    <mergeCell ref="I15:I16"/>
    <mergeCell ref="J15:J16"/>
    <mergeCell ref="I13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1"/>
  <sheetViews>
    <sheetView topLeftCell="A16" zoomScaleNormal="100" workbookViewId="0">
      <selection activeCell="B2" sqref="B2"/>
    </sheetView>
  </sheetViews>
  <sheetFormatPr defaultRowHeight="15" x14ac:dyDescent="0.25"/>
  <cols>
    <col min="1" max="1" width="3" style="15" customWidth="1"/>
    <col min="2" max="2" width="19.7109375" customWidth="1"/>
    <col min="3" max="3" width="14.42578125" customWidth="1"/>
    <col min="4" max="4" width="5.5703125" style="8" customWidth="1"/>
    <col min="5" max="5" width="7" style="8" customWidth="1"/>
    <col min="6" max="6" width="5" style="8" customWidth="1"/>
    <col min="7" max="7" width="4.140625" style="8" customWidth="1"/>
    <col min="8" max="8" width="5.7109375" customWidth="1"/>
    <col min="9" max="9" width="7.7109375" customWidth="1"/>
    <col min="10" max="10" width="5.28515625" customWidth="1"/>
    <col min="11" max="11" width="3.42578125" customWidth="1"/>
  </cols>
  <sheetData>
    <row r="1" spans="1:11" ht="18.75" x14ac:dyDescent="0.3">
      <c r="A1" s="16"/>
      <c r="B1" s="10" t="s">
        <v>249</v>
      </c>
      <c r="E1" s="9" t="s">
        <v>14</v>
      </c>
      <c r="F1" s="9"/>
      <c r="G1" s="7"/>
      <c r="H1" s="6" t="s">
        <v>8</v>
      </c>
    </row>
    <row r="2" spans="1:11" ht="6" customHeight="1" x14ac:dyDescent="0.25">
      <c r="A2" s="16"/>
    </row>
    <row r="3" spans="1:11" x14ac:dyDescent="0.25">
      <c r="A3" s="16"/>
      <c r="B3" s="1" t="s">
        <v>1</v>
      </c>
      <c r="C3" s="1" t="s">
        <v>2</v>
      </c>
      <c r="D3" s="1" t="s">
        <v>4</v>
      </c>
      <c r="E3" s="1" t="s">
        <v>5</v>
      </c>
      <c r="F3" s="1" t="s">
        <v>6</v>
      </c>
      <c r="G3" s="1">
        <v>9</v>
      </c>
    </row>
    <row r="4" spans="1:11" x14ac:dyDescent="0.25">
      <c r="A4" s="56" t="s">
        <v>0</v>
      </c>
      <c r="B4" s="33" t="s">
        <v>162</v>
      </c>
      <c r="C4" s="33" t="s">
        <v>253</v>
      </c>
      <c r="D4" s="35">
        <f>102+90+90+96</f>
        <v>378</v>
      </c>
      <c r="E4" s="35">
        <f>62+29+52+45</f>
        <v>188</v>
      </c>
      <c r="F4" s="35">
        <v>4</v>
      </c>
      <c r="G4" s="35">
        <v>10</v>
      </c>
      <c r="H4" s="33">
        <f t="shared" ref="H4:H7" si="0">+D4+E4</f>
        <v>566</v>
      </c>
      <c r="I4" s="224">
        <f t="shared" ref="I4" si="1">+H4+H5</f>
        <v>1047</v>
      </c>
      <c r="J4" s="226">
        <f>+I4+I6</f>
        <v>2138</v>
      </c>
    </row>
    <row r="5" spans="1:11" x14ac:dyDescent="0.25">
      <c r="A5" s="56"/>
      <c r="B5" s="26" t="s">
        <v>163</v>
      </c>
      <c r="C5" s="26" t="s">
        <v>253</v>
      </c>
      <c r="D5" s="27">
        <f>81+90+97+89</f>
        <v>357</v>
      </c>
      <c r="E5" s="27">
        <f>26+38+25+35</f>
        <v>124</v>
      </c>
      <c r="F5" s="27">
        <v>19</v>
      </c>
      <c r="G5" s="27">
        <v>9</v>
      </c>
      <c r="H5" s="26">
        <f t="shared" si="0"/>
        <v>481</v>
      </c>
      <c r="I5" s="218"/>
      <c r="J5" s="227"/>
    </row>
    <row r="6" spans="1:11" x14ac:dyDescent="0.25">
      <c r="A6" s="56"/>
      <c r="B6" s="26" t="s">
        <v>153</v>
      </c>
      <c r="C6" s="26" t="s">
        <v>253</v>
      </c>
      <c r="D6" s="27">
        <f>101+90+83+99</f>
        <v>373</v>
      </c>
      <c r="E6" s="27">
        <f>45+44+44+44</f>
        <v>177</v>
      </c>
      <c r="F6" s="27">
        <v>9</v>
      </c>
      <c r="G6" s="27">
        <v>11</v>
      </c>
      <c r="H6" s="26">
        <f t="shared" si="0"/>
        <v>550</v>
      </c>
      <c r="I6" s="218">
        <f t="shared" ref="I6" si="2">+H6+H7</f>
        <v>1091</v>
      </c>
      <c r="J6" s="227"/>
    </row>
    <row r="7" spans="1:11" x14ac:dyDescent="0.25">
      <c r="A7" s="55"/>
      <c r="B7" s="51" t="s">
        <v>160</v>
      </c>
      <c r="C7" s="30" t="s">
        <v>253</v>
      </c>
      <c r="D7" s="31">
        <f>96+101+95+85</f>
        <v>377</v>
      </c>
      <c r="E7" s="74">
        <f>54+27+49+34</f>
        <v>164</v>
      </c>
      <c r="F7" s="31">
        <v>8</v>
      </c>
      <c r="G7" s="31">
        <v>8</v>
      </c>
      <c r="H7" s="30">
        <f t="shared" si="0"/>
        <v>541</v>
      </c>
      <c r="I7" s="219"/>
      <c r="J7" s="228"/>
    </row>
    <row r="8" spans="1:11" x14ac:dyDescent="0.25">
      <c r="A8" s="57" t="s">
        <v>9</v>
      </c>
      <c r="B8" s="48" t="s">
        <v>250</v>
      </c>
      <c r="C8" s="48" t="s">
        <v>254</v>
      </c>
      <c r="D8" s="8">
        <f>76+101+76+102</f>
        <v>355</v>
      </c>
      <c r="E8" s="8">
        <f>27+33+34+31</f>
        <v>125</v>
      </c>
      <c r="F8" s="8">
        <v>11</v>
      </c>
      <c r="G8" s="8">
        <v>5</v>
      </c>
      <c r="H8" s="26">
        <f t="shared" ref="H8:H17" si="3">+D8+E8</f>
        <v>480</v>
      </c>
      <c r="I8" s="218">
        <f t="shared" ref="I8" si="4">+H8+H9</f>
        <v>1010</v>
      </c>
      <c r="J8" s="226">
        <f>+I8+I10</f>
        <v>2103</v>
      </c>
    </row>
    <row r="9" spans="1:11" x14ac:dyDescent="0.25">
      <c r="A9" s="56"/>
      <c r="B9" s="48" t="s">
        <v>251</v>
      </c>
      <c r="C9" s="48" t="s">
        <v>254</v>
      </c>
      <c r="D9" s="8">
        <f>98+72+91+83</f>
        <v>344</v>
      </c>
      <c r="E9" s="8">
        <f>54+44+44+44</f>
        <v>186</v>
      </c>
      <c r="F9" s="8">
        <v>9</v>
      </c>
      <c r="G9" s="8">
        <v>6</v>
      </c>
      <c r="H9" s="26">
        <f t="shared" si="3"/>
        <v>530</v>
      </c>
      <c r="I9" s="218"/>
      <c r="J9" s="227"/>
    </row>
    <row r="10" spans="1:11" x14ac:dyDescent="0.25">
      <c r="A10" s="56"/>
      <c r="B10" s="48" t="s">
        <v>252</v>
      </c>
      <c r="C10" s="48" t="s">
        <v>254</v>
      </c>
      <c r="D10" s="8">
        <f>85+86+83+106</f>
        <v>360</v>
      </c>
      <c r="E10" s="8">
        <f>50+36+52+39</f>
        <v>177</v>
      </c>
      <c r="F10" s="8">
        <v>3</v>
      </c>
      <c r="G10" s="8">
        <v>8</v>
      </c>
      <c r="H10" s="26">
        <f t="shared" si="3"/>
        <v>537</v>
      </c>
      <c r="I10" s="218">
        <f t="shared" ref="I10" si="5">+H10+H11</f>
        <v>1093</v>
      </c>
      <c r="J10" s="227"/>
    </row>
    <row r="11" spans="1:11" x14ac:dyDescent="0.25">
      <c r="A11" s="55"/>
      <c r="B11" s="51" t="s">
        <v>223</v>
      </c>
      <c r="C11" s="51" t="s">
        <v>254</v>
      </c>
      <c r="D11" s="31">
        <f>103+102+99+91</f>
        <v>395</v>
      </c>
      <c r="E11" s="31">
        <f>45+42+42+32</f>
        <v>161</v>
      </c>
      <c r="F11" s="31">
        <v>9</v>
      </c>
      <c r="G11" s="31">
        <v>9</v>
      </c>
      <c r="H11" s="30">
        <f t="shared" si="3"/>
        <v>556</v>
      </c>
      <c r="I11" s="219"/>
      <c r="J11" s="228"/>
    </row>
    <row r="12" spans="1:11" x14ac:dyDescent="0.25">
      <c r="A12" s="57" t="s">
        <v>10</v>
      </c>
      <c r="B12" t="s">
        <v>132</v>
      </c>
      <c r="C12" t="s">
        <v>255</v>
      </c>
      <c r="D12" s="8">
        <f>81+79+92+105</f>
        <v>357</v>
      </c>
      <c r="E12" s="8">
        <f>35+43+45+25</f>
        <v>148</v>
      </c>
      <c r="F12" s="8">
        <v>14</v>
      </c>
      <c r="G12" s="8">
        <v>6</v>
      </c>
      <c r="H12" s="26">
        <f t="shared" si="3"/>
        <v>505</v>
      </c>
      <c r="I12" s="218">
        <f t="shared" ref="I12" si="6">+H12+H13</f>
        <v>1055</v>
      </c>
      <c r="J12" s="226">
        <f>+I12+I14</f>
        <v>2045</v>
      </c>
    </row>
    <row r="13" spans="1:11" x14ac:dyDescent="0.25">
      <c r="A13" s="56"/>
      <c r="B13" s="26" t="s">
        <v>203</v>
      </c>
      <c r="C13" s="26" t="s">
        <v>255</v>
      </c>
      <c r="D13" s="8">
        <f>90+91+91+92</f>
        <v>364</v>
      </c>
      <c r="E13" s="8">
        <f>35+44+54+53</f>
        <v>186</v>
      </c>
      <c r="F13" s="8">
        <v>4</v>
      </c>
      <c r="G13" s="8">
        <v>8</v>
      </c>
      <c r="H13" s="26">
        <f t="shared" si="3"/>
        <v>550</v>
      </c>
      <c r="I13" s="218"/>
      <c r="J13" s="227"/>
      <c r="K13" s="21"/>
    </row>
    <row r="14" spans="1:11" x14ac:dyDescent="0.25">
      <c r="A14" s="56"/>
      <c r="B14" s="26" t="s">
        <v>137</v>
      </c>
      <c r="C14" s="26" t="s">
        <v>255</v>
      </c>
      <c r="D14" s="27">
        <f>97+78+83+72</f>
        <v>330</v>
      </c>
      <c r="E14" s="27">
        <f>51+52+45+53</f>
        <v>201</v>
      </c>
      <c r="F14" s="27">
        <v>3</v>
      </c>
      <c r="G14" s="27">
        <v>6</v>
      </c>
      <c r="H14" s="26">
        <f t="shared" si="3"/>
        <v>531</v>
      </c>
      <c r="I14" s="218">
        <f t="shared" ref="I14" si="7">+H14+H15</f>
        <v>990</v>
      </c>
      <c r="J14" s="227"/>
      <c r="K14" s="21"/>
    </row>
    <row r="15" spans="1:11" x14ac:dyDescent="0.25">
      <c r="A15" s="55"/>
      <c r="B15" s="30" t="s">
        <v>136</v>
      </c>
      <c r="C15" s="30" t="s">
        <v>255</v>
      </c>
      <c r="D15" s="31">
        <f>68+73+92+77</f>
        <v>310</v>
      </c>
      <c r="E15" s="31">
        <f>44+33+42+30</f>
        <v>149</v>
      </c>
      <c r="F15" s="31">
        <v>11</v>
      </c>
      <c r="G15" s="31">
        <v>1</v>
      </c>
      <c r="H15" s="30">
        <f t="shared" si="3"/>
        <v>459</v>
      </c>
      <c r="I15" s="219"/>
      <c r="J15" s="228"/>
    </row>
    <row r="16" spans="1:11" x14ac:dyDescent="0.25">
      <c r="A16" s="57" t="s">
        <v>11</v>
      </c>
      <c r="B16" s="33" t="s">
        <v>20</v>
      </c>
      <c r="C16" s="33" t="s">
        <v>18</v>
      </c>
      <c r="D16" s="35">
        <f>98+83+107+80</f>
        <v>368</v>
      </c>
      <c r="E16" s="83">
        <f>45+36+36+41</f>
        <v>158</v>
      </c>
      <c r="F16" s="35">
        <v>5</v>
      </c>
      <c r="G16" s="83">
        <v>5</v>
      </c>
      <c r="H16" s="26">
        <f t="shared" si="3"/>
        <v>526</v>
      </c>
      <c r="I16" s="224">
        <f>+H16+H17</f>
        <v>1026</v>
      </c>
      <c r="J16" s="226">
        <f>+I16+I18</f>
        <v>2031</v>
      </c>
    </row>
    <row r="17" spans="1:11" x14ac:dyDescent="0.25">
      <c r="A17" s="56"/>
      <c r="B17" s="48" t="s">
        <v>246</v>
      </c>
      <c r="C17" s="26" t="s">
        <v>18</v>
      </c>
      <c r="D17" s="27">
        <f>89+83+89+84</f>
        <v>345</v>
      </c>
      <c r="E17" s="27">
        <f>44+53+36+22</f>
        <v>155</v>
      </c>
      <c r="F17" s="27">
        <v>11</v>
      </c>
      <c r="G17" s="27">
        <v>11</v>
      </c>
      <c r="H17" s="26">
        <f t="shared" si="3"/>
        <v>500</v>
      </c>
      <c r="I17" s="218"/>
      <c r="J17" s="227"/>
    </row>
    <row r="18" spans="1:11" x14ac:dyDescent="0.25">
      <c r="A18" s="56"/>
      <c r="B18" s="26" t="s">
        <v>23</v>
      </c>
      <c r="C18" s="26" t="s">
        <v>18</v>
      </c>
      <c r="D18" s="27">
        <f>86+78+93+97</f>
        <v>354</v>
      </c>
      <c r="E18" s="27">
        <f>42+33+40+26</f>
        <v>141</v>
      </c>
      <c r="F18" s="27">
        <v>10</v>
      </c>
      <c r="G18" s="27">
        <v>5</v>
      </c>
      <c r="H18" s="26">
        <f t="shared" ref="H18:H19" si="8">+D18+E18</f>
        <v>495</v>
      </c>
      <c r="I18" s="218">
        <f>+H18+H19</f>
        <v>1005</v>
      </c>
      <c r="J18" s="227"/>
    </row>
    <row r="19" spans="1:11" x14ac:dyDescent="0.25">
      <c r="A19" s="55"/>
      <c r="B19" s="30" t="s">
        <v>17</v>
      </c>
      <c r="C19" s="30" t="s">
        <v>18</v>
      </c>
      <c r="D19" s="31">
        <f>94+80+94+83</f>
        <v>351</v>
      </c>
      <c r="E19" s="31">
        <f>43+54+26+36</f>
        <v>159</v>
      </c>
      <c r="F19" s="31">
        <v>9</v>
      </c>
      <c r="G19" s="31">
        <v>6</v>
      </c>
      <c r="H19" s="30">
        <f t="shared" si="8"/>
        <v>510</v>
      </c>
      <c r="I19" s="219"/>
      <c r="J19" s="228"/>
    </row>
    <row r="20" spans="1:11" x14ac:dyDescent="0.25">
      <c r="A20" s="57" t="s">
        <v>12</v>
      </c>
      <c r="B20" s="33" t="s">
        <v>64</v>
      </c>
      <c r="C20" s="33" t="s">
        <v>63</v>
      </c>
      <c r="D20" s="35">
        <f>75+95+76+89</f>
        <v>335</v>
      </c>
      <c r="E20" s="35">
        <f>33+34+42+31</f>
        <v>140</v>
      </c>
      <c r="F20" s="35">
        <v>11</v>
      </c>
      <c r="G20" s="35">
        <v>2</v>
      </c>
      <c r="H20" s="33">
        <f t="shared" ref="H20:H31" si="9">+D20+E20</f>
        <v>475</v>
      </c>
      <c r="I20" s="224">
        <f t="shared" ref="I20" si="10">+H20+H21</f>
        <v>910</v>
      </c>
      <c r="J20" s="226">
        <f>+I20+I22</f>
        <v>1928</v>
      </c>
    </row>
    <row r="21" spans="1:11" x14ac:dyDescent="0.25">
      <c r="A21" s="56"/>
      <c r="B21" s="48" t="s">
        <v>247</v>
      </c>
      <c r="C21" s="26" t="s">
        <v>63</v>
      </c>
      <c r="D21" s="27">
        <f>60+85+74+81</f>
        <v>300</v>
      </c>
      <c r="E21" s="27">
        <f>35+42+40+18</f>
        <v>135</v>
      </c>
      <c r="F21" s="27">
        <v>15</v>
      </c>
      <c r="G21" s="27">
        <v>5</v>
      </c>
      <c r="H21" s="26">
        <f t="shared" si="9"/>
        <v>435</v>
      </c>
      <c r="I21" s="218"/>
      <c r="J21" s="227"/>
    </row>
    <row r="22" spans="1:11" x14ac:dyDescent="0.25">
      <c r="A22" s="56"/>
      <c r="B22" s="26" t="s">
        <v>65</v>
      </c>
      <c r="C22" s="26" t="s">
        <v>63</v>
      </c>
      <c r="D22" s="27">
        <f>87+85+90+84</f>
        <v>346</v>
      </c>
      <c r="E22" s="27">
        <f>33+38+52+45</f>
        <v>168</v>
      </c>
      <c r="F22" s="27">
        <v>10</v>
      </c>
      <c r="G22" s="27">
        <v>9</v>
      </c>
      <c r="H22" s="26">
        <f t="shared" si="9"/>
        <v>514</v>
      </c>
      <c r="I22" s="218">
        <f t="shared" ref="I22" si="11">+H22+H23</f>
        <v>1018</v>
      </c>
      <c r="J22" s="227"/>
      <c r="K22" s="50"/>
    </row>
    <row r="23" spans="1:11" x14ac:dyDescent="0.25">
      <c r="A23" s="55"/>
      <c r="B23" s="30" t="s">
        <v>248</v>
      </c>
      <c r="C23" s="30" t="s">
        <v>63</v>
      </c>
      <c r="D23" s="31">
        <f>84+78+91+90</f>
        <v>343</v>
      </c>
      <c r="E23" s="31">
        <f>44+30+45+42</f>
        <v>161</v>
      </c>
      <c r="F23" s="31">
        <v>8</v>
      </c>
      <c r="G23" s="31">
        <v>8</v>
      </c>
      <c r="H23" s="30">
        <f t="shared" si="9"/>
        <v>504</v>
      </c>
      <c r="I23" s="219"/>
      <c r="J23" s="228"/>
    </row>
    <row r="24" spans="1:11" x14ac:dyDescent="0.25">
      <c r="A24" s="57" t="s">
        <v>13</v>
      </c>
      <c r="B24" t="s">
        <v>258</v>
      </c>
      <c r="C24" s="26" t="s">
        <v>256</v>
      </c>
      <c r="D24" s="8">
        <f>69+71+79+57</f>
        <v>276</v>
      </c>
      <c r="E24" s="8">
        <f>17+36+26+25</f>
        <v>104</v>
      </c>
      <c r="F24" s="8">
        <v>26</v>
      </c>
      <c r="G24" s="8">
        <v>2</v>
      </c>
      <c r="H24" s="26">
        <f t="shared" si="9"/>
        <v>380</v>
      </c>
      <c r="I24" s="218">
        <f>+H24+H25</f>
        <v>843</v>
      </c>
      <c r="J24" s="227">
        <f>+I24+I26</f>
        <v>1926</v>
      </c>
    </row>
    <row r="25" spans="1:11" ht="15" customHeight="1" x14ac:dyDescent="0.25">
      <c r="A25" s="56"/>
      <c r="B25" s="26" t="s">
        <v>259</v>
      </c>
      <c r="C25" s="26" t="s">
        <v>256</v>
      </c>
      <c r="D25" s="27">
        <f>88+79+92+64</f>
        <v>323</v>
      </c>
      <c r="E25" s="27">
        <f>36+34+36+34</f>
        <v>140</v>
      </c>
      <c r="F25" s="27">
        <v>13</v>
      </c>
      <c r="G25" s="27">
        <v>4</v>
      </c>
      <c r="H25" s="26">
        <f t="shared" si="9"/>
        <v>463</v>
      </c>
      <c r="I25" s="218"/>
      <c r="J25" s="227"/>
      <c r="K25" s="21"/>
    </row>
    <row r="26" spans="1:11" x14ac:dyDescent="0.25">
      <c r="A26" s="56"/>
      <c r="B26" s="26" t="s">
        <v>130</v>
      </c>
      <c r="C26" s="26" t="s">
        <v>256</v>
      </c>
      <c r="D26" s="28">
        <f>94+78+86+92</f>
        <v>350</v>
      </c>
      <c r="E26" s="27">
        <f>32+44+49+35</f>
        <v>160</v>
      </c>
      <c r="F26" s="27">
        <v>7</v>
      </c>
      <c r="G26" s="27">
        <v>7</v>
      </c>
      <c r="H26" s="26">
        <f t="shared" si="9"/>
        <v>510</v>
      </c>
      <c r="I26" s="218">
        <f>+H26+H27</f>
        <v>1083</v>
      </c>
      <c r="J26" s="227"/>
      <c r="K26" s="86"/>
    </row>
    <row r="27" spans="1:11" x14ac:dyDescent="0.25">
      <c r="A27" s="55"/>
      <c r="B27" s="30" t="s">
        <v>257</v>
      </c>
      <c r="C27" s="30" t="s">
        <v>256</v>
      </c>
      <c r="D27" s="31">
        <f>98+102+79+103</f>
        <v>382</v>
      </c>
      <c r="E27" s="31">
        <f>36+41+42+72</f>
        <v>191</v>
      </c>
      <c r="F27" s="31">
        <v>10</v>
      </c>
      <c r="G27" s="31">
        <v>12</v>
      </c>
      <c r="H27" s="30">
        <f t="shared" si="9"/>
        <v>573</v>
      </c>
      <c r="I27" s="219"/>
      <c r="J27" s="228"/>
    </row>
    <row r="28" spans="1:11" ht="15" customHeight="1" x14ac:dyDescent="0.25">
      <c r="A28" s="57" t="s">
        <v>39</v>
      </c>
      <c r="B28" s="33" t="s">
        <v>24</v>
      </c>
      <c r="C28" s="33" t="s">
        <v>264</v>
      </c>
      <c r="D28" s="35">
        <f>85+82+79+84</f>
        <v>330</v>
      </c>
      <c r="E28" s="35">
        <f>37+45+24+24</f>
        <v>130</v>
      </c>
      <c r="F28" s="35">
        <v>22</v>
      </c>
      <c r="G28" s="35">
        <v>7</v>
      </c>
      <c r="H28" s="33">
        <f t="shared" si="9"/>
        <v>460</v>
      </c>
      <c r="I28" s="224">
        <f>+H28+H29</f>
        <v>969</v>
      </c>
      <c r="J28" s="226">
        <f>+I28+I30</f>
        <v>1864</v>
      </c>
    </row>
    <row r="29" spans="1:11" x14ac:dyDescent="0.25">
      <c r="A29" s="56"/>
      <c r="B29" s="26" t="s">
        <v>25</v>
      </c>
      <c r="C29" s="26" t="s">
        <v>264</v>
      </c>
      <c r="D29" s="27">
        <f>76+91+80+89</f>
        <v>336</v>
      </c>
      <c r="E29" s="27">
        <f>43+45+34+51</f>
        <v>173</v>
      </c>
      <c r="F29" s="27">
        <v>10</v>
      </c>
      <c r="G29" s="27">
        <v>8</v>
      </c>
      <c r="H29" s="26">
        <f t="shared" si="9"/>
        <v>509</v>
      </c>
      <c r="I29" s="218"/>
      <c r="J29" s="227"/>
    </row>
    <row r="30" spans="1:11" x14ac:dyDescent="0.25">
      <c r="A30" s="56"/>
      <c r="B30" s="26" t="s">
        <v>115</v>
      </c>
      <c r="C30" s="26" t="s">
        <v>264</v>
      </c>
      <c r="D30" s="27">
        <f>75+86+80+81</f>
        <v>322</v>
      </c>
      <c r="E30" s="27">
        <f>42+35+33+52</f>
        <v>162</v>
      </c>
      <c r="F30" s="27">
        <v>13</v>
      </c>
      <c r="G30" s="27">
        <v>2</v>
      </c>
      <c r="H30" s="26">
        <f t="shared" si="9"/>
        <v>484</v>
      </c>
      <c r="I30" s="218">
        <f>+H30+H31</f>
        <v>895</v>
      </c>
      <c r="J30" s="227"/>
    </row>
    <row r="31" spans="1:11" x14ac:dyDescent="0.25">
      <c r="A31" s="55"/>
      <c r="B31" s="30" t="s">
        <v>169</v>
      </c>
      <c r="C31" s="30" t="s">
        <v>264</v>
      </c>
      <c r="D31" s="31">
        <f>74+70+82+72</f>
        <v>298</v>
      </c>
      <c r="E31" s="31">
        <f>24+27+18+44</f>
        <v>113</v>
      </c>
      <c r="F31" s="31">
        <v>16</v>
      </c>
      <c r="G31" s="31">
        <v>1</v>
      </c>
      <c r="H31" s="30">
        <f t="shared" si="9"/>
        <v>411</v>
      </c>
      <c r="I31" s="219"/>
      <c r="J31" s="228"/>
    </row>
    <row r="32" spans="1:11" x14ac:dyDescent="0.25">
      <c r="A32" s="15" t="s">
        <v>40</v>
      </c>
      <c r="B32" s="48" t="s">
        <v>277</v>
      </c>
      <c r="C32" s="48" t="s">
        <v>207</v>
      </c>
      <c r="D32" s="27">
        <f>101+84+82+77</f>
        <v>344</v>
      </c>
      <c r="E32" s="27">
        <f>25+35+34+40</f>
        <v>134</v>
      </c>
      <c r="F32" s="27">
        <v>12</v>
      </c>
      <c r="G32" s="27">
        <v>5</v>
      </c>
      <c r="H32" s="26">
        <f t="shared" ref="H32:H35" si="12">+D32+E32</f>
        <v>478</v>
      </c>
      <c r="I32" s="218">
        <f t="shared" ref="I32" si="13">+H32+H33</f>
        <v>935</v>
      </c>
      <c r="J32" s="226">
        <f>+I32+I34</f>
        <v>1844</v>
      </c>
    </row>
    <row r="33" spans="1:10" x14ac:dyDescent="0.25">
      <c r="B33" s="48" t="s">
        <v>278</v>
      </c>
      <c r="C33" s="48" t="s">
        <v>207</v>
      </c>
      <c r="D33" s="27">
        <f>85+81+78+93</f>
        <v>337</v>
      </c>
      <c r="E33" s="27">
        <f>25+24+36+35</f>
        <v>120</v>
      </c>
      <c r="F33" s="27">
        <v>18</v>
      </c>
      <c r="G33" s="27">
        <v>6</v>
      </c>
      <c r="H33" s="26">
        <f t="shared" si="12"/>
        <v>457</v>
      </c>
      <c r="I33" s="218"/>
      <c r="J33" s="227"/>
    </row>
    <row r="34" spans="1:10" x14ac:dyDescent="0.25">
      <c r="B34" s="48" t="s">
        <v>210</v>
      </c>
      <c r="C34" s="48" t="s">
        <v>207</v>
      </c>
      <c r="D34" s="8">
        <f>70+74+78+63</f>
        <v>285</v>
      </c>
      <c r="E34" s="8">
        <f>26+51+34+62</f>
        <v>173</v>
      </c>
      <c r="F34" s="8">
        <v>14</v>
      </c>
      <c r="G34" s="8">
        <v>5</v>
      </c>
      <c r="H34" s="26">
        <f t="shared" si="12"/>
        <v>458</v>
      </c>
      <c r="I34" s="218">
        <f>+H34+H35</f>
        <v>909</v>
      </c>
      <c r="J34" s="227"/>
    </row>
    <row r="35" spans="1:10" x14ac:dyDescent="0.25">
      <c r="A35" s="62"/>
      <c r="B35" s="51" t="s">
        <v>208</v>
      </c>
      <c r="C35" s="51" t="s">
        <v>207</v>
      </c>
      <c r="D35" s="31">
        <f>86+74+89+76</f>
        <v>325</v>
      </c>
      <c r="E35" s="31">
        <f>26+31+35+34</f>
        <v>126</v>
      </c>
      <c r="F35" s="31">
        <v>18</v>
      </c>
      <c r="G35" s="31">
        <v>3</v>
      </c>
      <c r="H35" s="30">
        <f t="shared" si="12"/>
        <v>451</v>
      </c>
      <c r="I35" s="219"/>
      <c r="J35" s="228"/>
    </row>
    <row r="36" spans="1:10" x14ac:dyDescent="0.25">
      <c r="A36" s="15" t="s">
        <v>41</v>
      </c>
      <c r="B36" s="48" t="s">
        <v>267</v>
      </c>
      <c r="C36" s="26" t="s">
        <v>265</v>
      </c>
      <c r="D36" s="8">
        <f>79+74+85+82</f>
        <v>320</v>
      </c>
      <c r="E36" s="8">
        <f>45+61+25+17</f>
        <v>148</v>
      </c>
      <c r="F36" s="8">
        <v>17</v>
      </c>
      <c r="G36" s="8">
        <v>9</v>
      </c>
      <c r="H36" s="26">
        <f t="shared" ref="H36:H39" si="14">+D36+E36</f>
        <v>468</v>
      </c>
      <c r="I36" s="218">
        <f t="shared" ref="I36" si="15">+H36+H37</f>
        <v>815</v>
      </c>
      <c r="J36" s="226">
        <f>+I36+I38</f>
        <v>1801</v>
      </c>
    </row>
    <row r="37" spans="1:10" x14ac:dyDescent="0.25">
      <c r="B37" s="48" t="s">
        <v>266</v>
      </c>
      <c r="C37" s="26" t="s">
        <v>265</v>
      </c>
      <c r="D37" s="8">
        <f>84+55+62+53</f>
        <v>254</v>
      </c>
      <c r="E37" s="8">
        <f>8+26+25+34</f>
        <v>93</v>
      </c>
      <c r="F37" s="8">
        <v>34</v>
      </c>
      <c r="G37" s="8">
        <v>3</v>
      </c>
      <c r="H37" s="26">
        <f t="shared" si="14"/>
        <v>347</v>
      </c>
      <c r="I37" s="218"/>
      <c r="J37" s="227"/>
    </row>
    <row r="38" spans="1:10" x14ac:dyDescent="0.25">
      <c r="B38" s="48" t="s">
        <v>235</v>
      </c>
      <c r="C38" s="26" t="s">
        <v>265</v>
      </c>
      <c r="D38" s="27">
        <f>77+88+73+70</f>
        <v>308</v>
      </c>
      <c r="E38" s="27">
        <f>27+33+39+27</f>
        <v>126</v>
      </c>
      <c r="F38" s="27">
        <v>11</v>
      </c>
      <c r="G38" s="27">
        <v>4</v>
      </c>
      <c r="H38" s="26">
        <f t="shared" si="14"/>
        <v>434</v>
      </c>
      <c r="I38" s="218">
        <f>+H38+H39</f>
        <v>986</v>
      </c>
      <c r="J38" s="227"/>
    </row>
    <row r="39" spans="1:10" x14ac:dyDescent="0.25">
      <c r="B39" s="51" t="s">
        <v>181</v>
      </c>
      <c r="C39" s="30" t="s">
        <v>265</v>
      </c>
      <c r="D39" s="31">
        <f>90+98+84+71</f>
        <v>343</v>
      </c>
      <c r="E39" s="31">
        <f>52+51+43+63</f>
        <v>209</v>
      </c>
      <c r="F39" s="31">
        <v>8</v>
      </c>
      <c r="G39" s="31">
        <v>10</v>
      </c>
      <c r="H39" s="30">
        <f t="shared" si="14"/>
        <v>552</v>
      </c>
      <c r="I39" s="219"/>
      <c r="J39" s="228"/>
    </row>
    <row r="40" spans="1:10" x14ac:dyDescent="0.25">
      <c r="C40" s="112" t="s">
        <v>98</v>
      </c>
      <c r="D40" s="45">
        <f>AVERAGE(D4:D35)</f>
        <v>342.1875</v>
      </c>
      <c r="E40" s="37">
        <f>AVERAGE(E4:E35)</f>
        <v>154.03125</v>
      </c>
      <c r="F40" s="45">
        <f>AVERAGE(F4:F35)</f>
        <v>11.3125</v>
      </c>
      <c r="G40" s="45">
        <f>AVERAGE(G4:G35)</f>
        <v>6.25</v>
      </c>
      <c r="H40" s="37">
        <f>AVERAGE(H4:H35)</f>
        <v>496.21875</v>
      </c>
    </row>
    <row r="48" spans="1:10" x14ac:dyDescent="0.25">
      <c r="B48" s="33"/>
      <c r="C48" s="33"/>
      <c r="D48" s="35"/>
      <c r="E48" s="35"/>
      <c r="F48" s="35"/>
      <c r="G48" s="35"/>
      <c r="H48" s="33">
        <f>+D48+E48</f>
        <v>0</v>
      </c>
      <c r="I48" s="224">
        <f>+H48+H49</f>
        <v>0</v>
      </c>
      <c r="J48" s="226">
        <f>+I48+I50</f>
        <v>0</v>
      </c>
    </row>
    <row r="49" spans="2:10" x14ac:dyDescent="0.25">
      <c r="B49" s="26"/>
      <c r="C49" s="26"/>
      <c r="D49" s="27"/>
      <c r="E49" s="27"/>
      <c r="F49" s="27"/>
      <c r="G49" s="27"/>
      <c r="H49" s="26">
        <f>+D49+E49</f>
        <v>0</v>
      </c>
      <c r="I49" s="218"/>
      <c r="J49" s="227"/>
    </row>
    <row r="50" spans="2:10" x14ac:dyDescent="0.25">
      <c r="B50" s="26"/>
      <c r="C50" s="26"/>
      <c r="D50" s="27"/>
      <c r="E50" s="27"/>
      <c r="F50" s="27"/>
      <c r="G50" s="27"/>
      <c r="H50" s="26">
        <f>+D50+E50</f>
        <v>0</v>
      </c>
      <c r="I50" s="218">
        <f>+H50+H51</f>
        <v>0</v>
      </c>
      <c r="J50" s="227"/>
    </row>
    <row r="51" spans="2:10" x14ac:dyDescent="0.25">
      <c r="B51" s="30"/>
      <c r="C51" s="26"/>
      <c r="D51" s="31"/>
      <c r="E51" s="31"/>
      <c r="F51" s="31"/>
      <c r="G51" s="31"/>
      <c r="H51" s="30">
        <f>+D51+E51</f>
        <v>0</v>
      </c>
      <c r="I51" s="219"/>
      <c r="J51" s="228"/>
    </row>
  </sheetData>
  <mergeCells count="30">
    <mergeCell ref="J12:J15"/>
    <mergeCell ref="I48:I49"/>
    <mergeCell ref="J48:J51"/>
    <mergeCell ref="I50:I51"/>
    <mergeCell ref="I20:I21"/>
    <mergeCell ref="J28:J31"/>
    <mergeCell ref="I28:I29"/>
    <mergeCell ref="I30:I31"/>
    <mergeCell ref="I36:I37"/>
    <mergeCell ref="I38:I39"/>
    <mergeCell ref="J36:J39"/>
    <mergeCell ref="J32:J35"/>
    <mergeCell ref="I34:I35"/>
    <mergeCell ref="I32:I33"/>
    <mergeCell ref="I4:I5"/>
    <mergeCell ref="I6:I7"/>
    <mergeCell ref="J4:J7"/>
    <mergeCell ref="I24:I25"/>
    <mergeCell ref="J24:J27"/>
    <mergeCell ref="I26:I27"/>
    <mergeCell ref="I16:I17"/>
    <mergeCell ref="J16:J19"/>
    <mergeCell ref="I18:I19"/>
    <mergeCell ref="I22:I23"/>
    <mergeCell ref="J20:J23"/>
    <mergeCell ref="I8:I9"/>
    <mergeCell ref="I10:I11"/>
    <mergeCell ref="J8:J11"/>
    <mergeCell ref="I12:I13"/>
    <mergeCell ref="I14:I1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71"/>
  <sheetViews>
    <sheetView zoomScaleNormal="100" workbookViewId="0">
      <selection activeCell="O25" sqref="O25"/>
    </sheetView>
  </sheetViews>
  <sheetFormatPr defaultRowHeight="15" x14ac:dyDescent="0.25"/>
  <cols>
    <col min="1" max="1" width="3.5703125" customWidth="1"/>
    <col min="2" max="2" width="17.7109375" customWidth="1"/>
    <col min="3" max="3" width="15.5703125" customWidth="1"/>
    <col min="4" max="4" width="4.5703125" style="7" customWidth="1"/>
    <col min="5" max="5" width="3.42578125" style="105" customWidth="1"/>
    <col min="6" max="7" width="2" style="8" customWidth="1"/>
    <col min="8" max="8" width="3.5703125" customWidth="1"/>
    <col min="9" max="9" width="17.42578125" customWidth="1"/>
    <col min="10" max="10" width="16.140625" customWidth="1"/>
    <col min="11" max="11" width="4.28515625" style="8" customWidth="1"/>
    <col min="12" max="12" width="3.42578125" style="135" customWidth="1"/>
    <col min="13" max="13" width="0.7109375" customWidth="1"/>
    <col min="14" max="14" width="3.5703125" customWidth="1"/>
    <col min="15" max="15" width="20.42578125" customWidth="1"/>
    <col min="16" max="16" width="15.28515625" customWidth="1"/>
    <col min="17" max="17" width="5.140625" style="4" customWidth="1"/>
    <col min="18" max="18" width="3.85546875" style="50" customWidth="1"/>
  </cols>
  <sheetData>
    <row r="1" spans="1:18" ht="18.75" x14ac:dyDescent="0.3">
      <c r="B1" s="10" t="s">
        <v>228</v>
      </c>
      <c r="J1" s="54"/>
    </row>
    <row r="2" spans="1:18" ht="3" customHeight="1" x14ac:dyDescent="0.25"/>
    <row r="3" spans="1:18" x14ac:dyDescent="0.25">
      <c r="B3" s="13" t="s">
        <v>37</v>
      </c>
    </row>
    <row r="4" spans="1:18" ht="1.5" customHeight="1" x14ac:dyDescent="0.25"/>
    <row r="5" spans="1:18" x14ac:dyDescent="0.25">
      <c r="B5" s="16" t="s">
        <v>38</v>
      </c>
      <c r="C5" s="15"/>
      <c r="D5" s="16"/>
      <c r="E5" s="106"/>
      <c r="F5" s="23"/>
      <c r="G5" s="23"/>
      <c r="H5" s="15"/>
      <c r="I5" s="16" t="s">
        <v>53</v>
      </c>
      <c r="J5" s="15"/>
      <c r="K5" s="23"/>
      <c r="L5" s="106"/>
      <c r="M5" s="15"/>
      <c r="N5" s="15"/>
      <c r="O5" s="16" t="s">
        <v>54</v>
      </c>
    </row>
    <row r="6" spans="1:18" ht="3" customHeight="1" x14ac:dyDescent="0.25"/>
    <row r="7" spans="1:18" ht="15.75" x14ac:dyDescent="0.25">
      <c r="A7" s="16" t="s">
        <v>0</v>
      </c>
      <c r="B7" s="48" t="s">
        <v>88</v>
      </c>
      <c r="C7" s="48" t="s">
        <v>190</v>
      </c>
      <c r="D7" s="138">
        <v>536</v>
      </c>
      <c r="H7" s="16" t="s">
        <v>0</v>
      </c>
      <c r="I7" s="48" t="s">
        <v>130</v>
      </c>
      <c r="J7" s="48" t="s">
        <v>133</v>
      </c>
      <c r="K7" s="7">
        <v>477</v>
      </c>
      <c r="N7" s="16" t="s">
        <v>0</v>
      </c>
      <c r="O7" t="s">
        <v>97</v>
      </c>
      <c r="P7" t="s">
        <v>18</v>
      </c>
      <c r="Q7" s="4">
        <v>468</v>
      </c>
    </row>
    <row r="8" spans="1:18" ht="15.75" x14ac:dyDescent="0.25">
      <c r="A8" s="16" t="s">
        <v>9</v>
      </c>
      <c r="B8" s="26" t="s">
        <v>30</v>
      </c>
      <c r="C8" s="26" t="s">
        <v>129</v>
      </c>
      <c r="D8" s="138">
        <v>510</v>
      </c>
      <c r="H8" s="16" t="s">
        <v>9</v>
      </c>
      <c r="I8" s="26" t="s">
        <v>212</v>
      </c>
      <c r="J8" s="26" t="s">
        <v>211</v>
      </c>
      <c r="K8" s="7">
        <v>476</v>
      </c>
      <c r="N8" s="16" t="s">
        <v>9</v>
      </c>
      <c r="O8" t="s">
        <v>26</v>
      </c>
      <c r="P8" t="s">
        <v>19</v>
      </c>
      <c r="Q8" s="4">
        <v>467</v>
      </c>
    </row>
    <row r="9" spans="1:18" ht="15.75" x14ac:dyDescent="0.25">
      <c r="A9" s="16" t="s">
        <v>10</v>
      </c>
      <c r="B9" s="48" t="s">
        <v>114</v>
      </c>
      <c r="C9" s="48" t="s">
        <v>171</v>
      </c>
      <c r="D9" s="138">
        <v>508</v>
      </c>
      <c r="H9" s="16" t="s">
        <v>10</v>
      </c>
      <c r="I9" s="26" t="s">
        <v>135</v>
      </c>
      <c r="J9" s="48" t="s">
        <v>131</v>
      </c>
      <c r="K9" s="7">
        <v>471</v>
      </c>
      <c r="N9" s="16" t="s">
        <v>10</v>
      </c>
      <c r="O9" s="48" t="s">
        <v>177</v>
      </c>
      <c r="P9" s="26" t="s">
        <v>63</v>
      </c>
      <c r="Q9" s="4">
        <v>460</v>
      </c>
    </row>
    <row r="10" spans="1:18" ht="15.75" x14ac:dyDescent="0.25">
      <c r="A10" s="16" t="s">
        <v>11</v>
      </c>
      <c r="B10" s="26" t="s">
        <v>36</v>
      </c>
      <c r="C10" s="26" t="s">
        <v>128</v>
      </c>
      <c r="D10" s="138">
        <v>504</v>
      </c>
      <c r="H10" s="16" t="s">
        <v>11</v>
      </c>
      <c r="I10" t="s">
        <v>21</v>
      </c>
      <c r="J10" t="s">
        <v>18</v>
      </c>
      <c r="K10" s="7">
        <v>469</v>
      </c>
      <c r="N10" s="16" t="s">
        <v>11</v>
      </c>
      <c r="O10" s="49" t="s">
        <v>64</v>
      </c>
      <c r="P10" s="49" t="s">
        <v>63</v>
      </c>
      <c r="Q10" s="4">
        <v>435</v>
      </c>
    </row>
    <row r="11" spans="1:18" x14ac:dyDescent="0.25">
      <c r="A11" s="16" t="s">
        <v>12</v>
      </c>
      <c r="B11" s="26" t="s">
        <v>242</v>
      </c>
      <c r="C11" s="26" t="s">
        <v>175</v>
      </c>
      <c r="D11" s="7">
        <v>491</v>
      </c>
      <c r="H11" s="16" t="s">
        <v>12</v>
      </c>
      <c r="I11" s="26" t="s">
        <v>23</v>
      </c>
      <c r="J11" s="26" t="s">
        <v>18</v>
      </c>
      <c r="K11" s="7">
        <v>456</v>
      </c>
      <c r="N11" s="16" t="s">
        <v>12</v>
      </c>
      <c r="O11" t="s">
        <v>201</v>
      </c>
      <c r="P11" t="s">
        <v>19</v>
      </c>
      <c r="Q11" s="4">
        <v>420</v>
      </c>
    </row>
    <row r="12" spans="1:18" x14ac:dyDescent="0.25">
      <c r="A12" s="16" t="s">
        <v>13</v>
      </c>
      <c r="B12" s="48" t="s">
        <v>87</v>
      </c>
      <c r="C12" s="48" t="s">
        <v>190</v>
      </c>
      <c r="D12" s="7">
        <v>487</v>
      </c>
      <c r="H12" s="16" t="s">
        <v>13</v>
      </c>
      <c r="I12" s="81" t="s">
        <v>132</v>
      </c>
      <c r="J12" s="81" t="s">
        <v>131</v>
      </c>
      <c r="K12" s="7">
        <v>454</v>
      </c>
      <c r="N12" s="16" t="s">
        <v>13</v>
      </c>
      <c r="O12" t="s">
        <v>27</v>
      </c>
      <c r="P12" t="s">
        <v>19</v>
      </c>
      <c r="Q12" s="4">
        <v>408</v>
      </c>
      <c r="R12" s="50">
        <v>118</v>
      </c>
    </row>
    <row r="13" spans="1:18" x14ac:dyDescent="0.25">
      <c r="A13" s="16" t="s">
        <v>39</v>
      </c>
      <c r="B13" s="26" t="s">
        <v>79</v>
      </c>
      <c r="C13" s="26" t="s">
        <v>129</v>
      </c>
      <c r="D13" s="7">
        <v>486</v>
      </c>
      <c r="F13" s="24"/>
      <c r="H13" s="16" t="s">
        <v>39</v>
      </c>
      <c r="I13" s="48" t="s">
        <v>178</v>
      </c>
      <c r="J13" s="48" t="s">
        <v>63</v>
      </c>
      <c r="K13" s="7">
        <v>444</v>
      </c>
      <c r="N13" s="16" t="s">
        <v>39</v>
      </c>
      <c r="O13" s="26" t="s">
        <v>196</v>
      </c>
      <c r="P13" s="26" t="s">
        <v>192</v>
      </c>
      <c r="Q13" s="4">
        <v>408</v>
      </c>
      <c r="R13" s="50">
        <v>115</v>
      </c>
    </row>
    <row r="14" spans="1:18" x14ac:dyDescent="0.25">
      <c r="A14" s="16" t="s">
        <v>40</v>
      </c>
      <c r="B14" s="48" t="s">
        <v>202</v>
      </c>
      <c r="C14" s="48" t="s">
        <v>171</v>
      </c>
      <c r="D14" s="7">
        <v>485</v>
      </c>
      <c r="H14" s="16" t="s">
        <v>40</v>
      </c>
      <c r="I14" t="s">
        <v>20</v>
      </c>
      <c r="J14" t="s">
        <v>18</v>
      </c>
      <c r="K14" s="7">
        <v>443</v>
      </c>
      <c r="N14" s="16" t="s">
        <v>40</v>
      </c>
      <c r="O14" s="26" t="s">
        <v>214</v>
      </c>
      <c r="P14" s="26" t="s">
        <v>211</v>
      </c>
      <c r="Q14" s="4">
        <v>407</v>
      </c>
    </row>
    <row r="15" spans="1:18" x14ac:dyDescent="0.25">
      <c r="A15" s="16" t="s">
        <v>41</v>
      </c>
      <c r="B15" s="26" t="s">
        <v>138</v>
      </c>
      <c r="C15" s="26" t="s">
        <v>240</v>
      </c>
      <c r="D15" s="7">
        <v>484</v>
      </c>
      <c r="H15" s="16" t="s">
        <v>41</v>
      </c>
      <c r="I15" s="26" t="s">
        <v>162</v>
      </c>
      <c r="J15" s="26" t="s">
        <v>161</v>
      </c>
      <c r="K15" s="7">
        <v>442</v>
      </c>
      <c r="L15" s="135">
        <v>123</v>
      </c>
      <c r="N15" s="16" t="s">
        <v>41</v>
      </c>
      <c r="O15" s="48" t="s">
        <v>167</v>
      </c>
      <c r="P15" s="131" t="s">
        <v>168</v>
      </c>
      <c r="Q15" s="4">
        <v>403</v>
      </c>
    </row>
    <row r="16" spans="1:18" x14ac:dyDescent="0.25">
      <c r="A16" s="16" t="s">
        <v>42</v>
      </c>
      <c r="B16" s="48" t="s">
        <v>141</v>
      </c>
      <c r="C16" s="48" t="s">
        <v>190</v>
      </c>
      <c r="D16" s="7">
        <v>477</v>
      </c>
      <c r="H16" s="16" t="s">
        <v>42</v>
      </c>
      <c r="I16" s="26" t="s">
        <v>153</v>
      </c>
      <c r="J16" s="26" t="s">
        <v>161</v>
      </c>
      <c r="K16" s="7">
        <v>442</v>
      </c>
      <c r="L16" s="135">
        <v>121</v>
      </c>
      <c r="N16" s="16" t="s">
        <v>42</v>
      </c>
      <c r="O16" s="49" t="s">
        <v>57</v>
      </c>
      <c r="P16" s="49" t="s">
        <v>18</v>
      </c>
      <c r="Q16" s="4">
        <v>398</v>
      </c>
    </row>
    <row r="17" spans="1:17" x14ac:dyDescent="0.25">
      <c r="A17" s="16" t="s">
        <v>43</v>
      </c>
      <c r="B17" s="26" t="s">
        <v>155</v>
      </c>
      <c r="C17" s="26" t="s">
        <v>175</v>
      </c>
      <c r="D17" s="7">
        <v>472</v>
      </c>
      <c r="G17" s="24"/>
      <c r="H17" s="16" t="s">
        <v>43</v>
      </c>
      <c r="I17" s="26" t="s">
        <v>163</v>
      </c>
      <c r="J17" s="26" t="s">
        <v>161</v>
      </c>
      <c r="K17" s="7">
        <v>430</v>
      </c>
      <c r="N17" s="16" t="s">
        <v>43</v>
      </c>
      <c r="O17" s="26" t="s">
        <v>194</v>
      </c>
      <c r="P17" s="26" t="s">
        <v>192</v>
      </c>
      <c r="Q17" s="4">
        <v>372</v>
      </c>
    </row>
    <row r="18" spans="1:17" x14ac:dyDescent="0.25">
      <c r="A18" s="16" t="s">
        <v>44</v>
      </c>
      <c r="B18" t="s">
        <v>232</v>
      </c>
      <c r="C18" t="s">
        <v>233</v>
      </c>
      <c r="D18" s="7">
        <v>464</v>
      </c>
      <c r="E18" s="105">
        <v>162</v>
      </c>
      <c r="G18" s="24"/>
      <c r="H18" s="16" t="s">
        <v>44</v>
      </c>
      <c r="I18" s="26" t="s">
        <v>160</v>
      </c>
      <c r="J18" s="26" t="s">
        <v>161</v>
      </c>
      <c r="K18" s="7">
        <v>427</v>
      </c>
      <c r="L18" s="135">
        <v>133</v>
      </c>
      <c r="N18" s="16" t="s">
        <v>44</v>
      </c>
      <c r="O18" s="48" t="s">
        <v>195</v>
      </c>
      <c r="P18" s="26" t="s">
        <v>192</v>
      </c>
      <c r="Q18" s="4">
        <v>368</v>
      </c>
    </row>
    <row r="19" spans="1:17" x14ac:dyDescent="0.25">
      <c r="A19" s="16" t="s">
        <v>45</v>
      </c>
      <c r="B19" s="26" t="s">
        <v>124</v>
      </c>
      <c r="C19" s="26" t="s">
        <v>100</v>
      </c>
      <c r="D19" s="7">
        <v>464</v>
      </c>
      <c r="E19" s="105">
        <v>160</v>
      </c>
      <c r="G19" s="24"/>
      <c r="H19" s="16" t="s">
        <v>45</v>
      </c>
      <c r="I19" t="s">
        <v>117</v>
      </c>
      <c r="J19" s="131" t="s">
        <v>168</v>
      </c>
      <c r="K19" s="7">
        <v>427</v>
      </c>
      <c r="L19" s="135">
        <v>124</v>
      </c>
      <c r="N19" s="16" t="s">
        <v>45</v>
      </c>
      <c r="O19" t="s">
        <v>191</v>
      </c>
      <c r="P19" t="s">
        <v>113</v>
      </c>
      <c r="Q19" s="4">
        <v>363</v>
      </c>
    </row>
    <row r="20" spans="1:17" x14ac:dyDescent="0.25">
      <c r="A20" s="16" t="s">
        <v>46</v>
      </c>
      <c r="B20" s="26" t="s">
        <v>56</v>
      </c>
      <c r="C20" s="26" t="s">
        <v>128</v>
      </c>
      <c r="D20" s="7">
        <v>464</v>
      </c>
      <c r="E20" s="105">
        <v>154</v>
      </c>
      <c r="G20" s="24"/>
      <c r="H20" s="16" t="s">
        <v>46</v>
      </c>
      <c r="I20" s="48" t="s">
        <v>213</v>
      </c>
      <c r="J20" s="131" t="s">
        <v>211</v>
      </c>
      <c r="K20" s="7">
        <v>424</v>
      </c>
      <c r="N20" s="16" t="s">
        <v>46</v>
      </c>
      <c r="O20" s="26" t="s">
        <v>193</v>
      </c>
      <c r="P20" s="26" t="s">
        <v>192</v>
      </c>
      <c r="Q20" s="4">
        <v>350</v>
      </c>
    </row>
    <row r="21" spans="1:17" x14ac:dyDescent="0.25">
      <c r="A21" s="16" t="s">
        <v>47</v>
      </c>
      <c r="B21" s="48" t="s">
        <v>180</v>
      </c>
      <c r="C21" s="48" t="s">
        <v>190</v>
      </c>
      <c r="D21" s="7">
        <v>462</v>
      </c>
      <c r="G21" s="24"/>
      <c r="H21" s="16" t="s">
        <v>47</v>
      </c>
      <c r="I21" s="48" t="s">
        <v>17</v>
      </c>
      <c r="J21" s="131" t="s">
        <v>18</v>
      </c>
      <c r="K21" s="7">
        <v>418</v>
      </c>
      <c r="N21" s="16" t="s">
        <v>47</v>
      </c>
      <c r="O21" t="s">
        <v>96</v>
      </c>
      <c r="P21" t="s">
        <v>18</v>
      </c>
      <c r="Q21" s="4">
        <v>340</v>
      </c>
    </row>
    <row r="22" spans="1:17" x14ac:dyDescent="0.25">
      <c r="A22" s="16" t="s">
        <v>48</v>
      </c>
      <c r="B22" s="26" t="s">
        <v>32</v>
      </c>
      <c r="C22" s="26" t="s">
        <v>129</v>
      </c>
      <c r="D22" s="7">
        <v>460</v>
      </c>
      <c r="G22" s="24"/>
      <c r="H22" s="16" t="s">
        <v>48</v>
      </c>
      <c r="I22" s="26" t="s">
        <v>137</v>
      </c>
      <c r="J22" s="124" t="s">
        <v>131</v>
      </c>
      <c r="K22" s="7">
        <v>417</v>
      </c>
      <c r="N22" s="16" t="s">
        <v>48</v>
      </c>
      <c r="O22" t="s">
        <v>28</v>
      </c>
      <c r="P22" t="s">
        <v>19</v>
      </c>
      <c r="Q22" s="4">
        <v>332</v>
      </c>
    </row>
    <row r="23" spans="1:17" x14ac:dyDescent="0.25">
      <c r="A23" s="16" t="s">
        <v>49</v>
      </c>
      <c r="B23" s="26" t="s">
        <v>60</v>
      </c>
      <c r="C23" s="26" t="s">
        <v>139</v>
      </c>
      <c r="D23" s="7">
        <v>458</v>
      </c>
      <c r="F23" s="24"/>
      <c r="G23" s="24"/>
      <c r="H23" s="16" t="s">
        <v>49</v>
      </c>
      <c r="I23" t="s">
        <v>24</v>
      </c>
      <c r="J23" s="131" t="s">
        <v>168</v>
      </c>
      <c r="K23" s="7">
        <v>413</v>
      </c>
      <c r="P23" s="107" t="s">
        <v>98</v>
      </c>
      <c r="Q23" s="14">
        <f>AVERAGE(Q7:Q22)</f>
        <v>399.9375</v>
      </c>
    </row>
    <row r="24" spans="1:17" x14ac:dyDescent="0.25">
      <c r="A24" s="16" t="s">
        <v>50</v>
      </c>
      <c r="B24" s="48" t="s">
        <v>165</v>
      </c>
      <c r="C24" s="48" t="s">
        <v>171</v>
      </c>
      <c r="D24" s="7">
        <v>457</v>
      </c>
      <c r="F24" s="24"/>
      <c r="G24" s="24"/>
      <c r="H24" s="16" t="s">
        <v>50</v>
      </c>
      <c r="I24" t="s">
        <v>234</v>
      </c>
      <c r="J24" s="131" t="s">
        <v>168</v>
      </c>
      <c r="K24" s="7">
        <v>406</v>
      </c>
    </row>
    <row r="25" spans="1:17" x14ac:dyDescent="0.25">
      <c r="A25" s="16" t="s">
        <v>51</v>
      </c>
      <c r="B25" s="26" t="s">
        <v>59</v>
      </c>
      <c r="C25" s="26" t="s">
        <v>139</v>
      </c>
      <c r="D25" s="7">
        <v>456</v>
      </c>
      <c r="E25" s="105">
        <v>148</v>
      </c>
      <c r="G25" s="24"/>
      <c r="H25" s="16" t="s">
        <v>51</v>
      </c>
      <c r="I25" t="s">
        <v>25</v>
      </c>
      <c r="J25" s="131" t="s">
        <v>168</v>
      </c>
      <c r="K25" s="7">
        <v>402</v>
      </c>
    </row>
    <row r="26" spans="1:17" x14ac:dyDescent="0.25">
      <c r="A26" s="16" t="s">
        <v>52</v>
      </c>
      <c r="B26" s="26" t="s">
        <v>241</v>
      </c>
      <c r="C26" s="26" t="s">
        <v>240</v>
      </c>
      <c r="D26" s="7">
        <v>456</v>
      </c>
      <c r="E26" s="105">
        <v>159</v>
      </c>
      <c r="G26" s="24"/>
      <c r="H26" s="16" t="s">
        <v>52</v>
      </c>
      <c r="I26" s="26" t="s">
        <v>206</v>
      </c>
      <c r="J26" s="26" t="s">
        <v>207</v>
      </c>
      <c r="K26" s="7">
        <v>401</v>
      </c>
    </row>
    <row r="27" spans="1:17" x14ac:dyDescent="0.25">
      <c r="A27" s="16" t="s">
        <v>66</v>
      </c>
      <c r="B27" s="48" t="s">
        <v>86</v>
      </c>
      <c r="C27" s="48" t="s">
        <v>190</v>
      </c>
      <c r="D27" s="7">
        <v>455</v>
      </c>
      <c r="E27" s="105">
        <v>152</v>
      </c>
      <c r="F27" s="24"/>
      <c r="G27" s="24"/>
      <c r="H27" s="16" t="s">
        <v>66</v>
      </c>
      <c r="I27" s="48" t="s">
        <v>136</v>
      </c>
      <c r="J27" s="48" t="s">
        <v>131</v>
      </c>
      <c r="K27" s="7">
        <v>399</v>
      </c>
    </row>
    <row r="28" spans="1:17" x14ac:dyDescent="0.25">
      <c r="A28" s="16" t="s">
        <v>67</v>
      </c>
      <c r="B28" s="26" t="s">
        <v>78</v>
      </c>
      <c r="C28" s="26" t="s">
        <v>128</v>
      </c>
      <c r="D28" s="7">
        <v>455</v>
      </c>
      <c r="E28" s="105">
        <v>142</v>
      </c>
      <c r="H28" s="16" t="s">
        <v>67</v>
      </c>
      <c r="I28" s="26" t="s">
        <v>65</v>
      </c>
      <c r="J28" s="26" t="s">
        <v>63</v>
      </c>
      <c r="K28" s="7">
        <v>393</v>
      </c>
    </row>
    <row r="29" spans="1:17" x14ac:dyDescent="0.25">
      <c r="A29" s="16" t="s">
        <v>68</v>
      </c>
      <c r="B29" s="26" t="s">
        <v>174</v>
      </c>
      <c r="C29" s="26" t="s">
        <v>175</v>
      </c>
      <c r="D29" s="7">
        <v>454</v>
      </c>
      <c r="H29" s="16" t="s">
        <v>68</v>
      </c>
      <c r="I29" s="48" t="s">
        <v>181</v>
      </c>
      <c r="J29" s="131" t="s">
        <v>168</v>
      </c>
      <c r="K29" s="7">
        <v>386</v>
      </c>
    </row>
    <row r="30" spans="1:17" x14ac:dyDescent="0.25">
      <c r="A30" s="16" t="s">
        <v>69</v>
      </c>
      <c r="B30" s="48" t="s">
        <v>22</v>
      </c>
      <c r="C30" s="26" t="s">
        <v>127</v>
      </c>
      <c r="D30" s="7">
        <v>448</v>
      </c>
      <c r="H30" s="16" t="s">
        <v>69</v>
      </c>
      <c r="I30" s="26" t="s">
        <v>151</v>
      </c>
      <c r="J30" s="131" t="s">
        <v>168</v>
      </c>
      <c r="K30" s="7">
        <v>384</v>
      </c>
    </row>
    <row r="31" spans="1:17" x14ac:dyDescent="0.25">
      <c r="A31" s="16" t="s">
        <v>70</v>
      </c>
      <c r="B31" t="s">
        <v>99</v>
      </c>
      <c r="C31" t="s">
        <v>127</v>
      </c>
      <c r="D31" s="7">
        <v>445</v>
      </c>
      <c r="E31" s="105">
        <v>151</v>
      </c>
      <c r="H31" s="16" t="s">
        <v>70</v>
      </c>
      <c r="I31" s="26" t="s">
        <v>215</v>
      </c>
      <c r="J31" s="131" t="s">
        <v>211</v>
      </c>
      <c r="K31" s="7">
        <v>379</v>
      </c>
    </row>
    <row r="32" spans="1:17" x14ac:dyDescent="0.25">
      <c r="A32" s="16" t="s">
        <v>71</v>
      </c>
      <c r="B32" t="s">
        <v>126</v>
      </c>
      <c r="C32" t="s">
        <v>127</v>
      </c>
      <c r="D32" s="7">
        <v>445</v>
      </c>
      <c r="E32" s="105">
        <v>138</v>
      </c>
      <c r="H32" s="16" t="s">
        <v>71</v>
      </c>
      <c r="I32" s="26" t="s">
        <v>172</v>
      </c>
      <c r="J32" s="131" t="s">
        <v>211</v>
      </c>
      <c r="K32" s="7">
        <v>371</v>
      </c>
    </row>
    <row r="33" spans="1:12" x14ac:dyDescent="0.25">
      <c r="A33" s="16" t="s">
        <v>72</v>
      </c>
      <c r="B33" s="26" t="s">
        <v>34</v>
      </c>
      <c r="C33" s="59" t="s">
        <v>101</v>
      </c>
      <c r="D33" s="7">
        <v>443</v>
      </c>
      <c r="H33" s="16" t="s">
        <v>72</v>
      </c>
      <c r="I33" s="26" t="s">
        <v>182</v>
      </c>
      <c r="J33" s="131" t="s">
        <v>168</v>
      </c>
      <c r="K33" s="7">
        <v>369</v>
      </c>
    </row>
    <row r="34" spans="1:12" x14ac:dyDescent="0.25">
      <c r="A34" s="16" t="s">
        <v>73</v>
      </c>
      <c r="B34" s="26" t="s">
        <v>173</v>
      </c>
      <c r="C34" s="26" t="s">
        <v>175</v>
      </c>
      <c r="D34" s="7">
        <v>437</v>
      </c>
      <c r="H34" s="16" t="s">
        <v>73</v>
      </c>
      <c r="I34" s="26" t="s">
        <v>152</v>
      </c>
      <c r="J34" s="131" t="s">
        <v>168</v>
      </c>
      <c r="K34" s="7">
        <v>368</v>
      </c>
    </row>
    <row r="35" spans="1:12" x14ac:dyDescent="0.25">
      <c r="A35" s="16" t="s">
        <v>74</v>
      </c>
      <c r="B35" s="26" t="s">
        <v>16</v>
      </c>
      <c r="C35" s="26" t="s">
        <v>100</v>
      </c>
      <c r="D35" s="7">
        <v>435</v>
      </c>
      <c r="H35" s="16" t="s">
        <v>74</v>
      </c>
      <c r="I35" s="48" t="s">
        <v>235</v>
      </c>
      <c r="J35" s="131" t="s">
        <v>168</v>
      </c>
      <c r="K35" s="7">
        <v>366</v>
      </c>
    </row>
    <row r="36" spans="1:12" x14ac:dyDescent="0.25">
      <c r="A36" s="16" t="s">
        <v>75</v>
      </c>
      <c r="B36" s="26" t="s">
        <v>83</v>
      </c>
      <c r="C36" s="26" t="s">
        <v>129</v>
      </c>
      <c r="D36" s="7">
        <v>433</v>
      </c>
      <c r="H36" s="16" t="s">
        <v>75</v>
      </c>
      <c r="I36" s="48" t="s">
        <v>237</v>
      </c>
      <c r="J36" s="26" t="s">
        <v>207</v>
      </c>
      <c r="K36" s="7">
        <v>365</v>
      </c>
    </row>
    <row r="37" spans="1:12" x14ac:dyDescent="0.25">
      <c r="A37" s="16" t="s">
        <v>76</v>
      </c>
      <c r="B37" s="48" t="s">
        <v>170</v>
      </c>
      <c r="C37" s="48" t="s">
        <v>171</v>
      </c>
      <c r="D37" s="7">
        <v>425</v>
      </c>
      <c r="H37" s="16" t="s">
        <v>76</v>
      </c>
      <c r="I37" t="s">
        <v>115</v>
      </c>
      <c r="J37" s="131" t="s">
        <v>168</v>
      </c>
      <c r="K37" s="7">
        <v>362</v>
      </c>
      <c r="L37" s="135">
        <v>97</v>
      </c>
    </row>
    <row r="38" spans="1:12" x14ac:dyDescent="0.25">
      <c r="A38" s="16" t="s">
        <v>77</v>
      </c>
      <c r="B38" s="26" t="s">
        <v>125</v>
      </c>
      <c r="C38" s="26" t="s">
        <v>127</v>
      </c>
      <c r="D38" s="7">
        <v>421</v>
      </c>
      <c r="H38" s="16" t="s">
        <v>77</v>
      </c>
      <c r="I38" s="26" t="s">
        <v>210</v>
      </c>
      <c r="J38" s="131" t="s">
        <v>207</v>
      </c>
      <c r="K38" s="7">
        <v>362</v>
      </c>
      <c r="L38" s="135">
        <v>86</v>
      </c>
    </row>
    <row r="39" spans="1:12" x14ac:dyDescent="0.25">
      <c r="A39" s="16" t="s">
        <v>89</v>
      </c>
      <c r="B39" s="26" t="s">
        <v>62</v>
      </c>
      <c r="C39" s="26" t="s">
        <v>139</v>
      </c>
      <c r="D39" s="7">
        <v>418</v>
      </c>
      <c r="H39" s="16" t="s">
        <v>89</v>
      </c>
      <c r="I39" s="48" t="s">
        <v>205</v>
      </c>
      <c r="J39" s="131" t="s">
        <v>168</v>
      </c>
      <c r="K39" s="7">
        <v>361</v>
      </c>
    </row>
    <row r="40" spans="1:12" x14ac:dyDescent="0.25">
      <c r="A40" s="16" t="s">
        <v>90</v>
      </c>
      <c r="B40" s="26" t="s">
        <v>239</v>
      </c>
      <c r="C40" s="26" t="s">
        <v>240</v>
      </c>
      <c r="D40" s="7">
        <v>411</v>
      </c>
      <c r="H40" s="16" t="s">
        <v>90</v>
      </c>
      <c r="I40" s="48" t="s">
        <v>154</v>
      </c>
      <c r="J40" s="48" t="s">
        <v>133</v>
      </c>
      <c r="K40" s="7">
        <v>356</v>
      </c>
    </row>
    <row r="41" spans="1:12" x14ac:dyDescent="0.25">
      <c r="A41" s="16" t="s">
        <v>91</v>
      </c>
      <c r="B41" s="26" t="s">
        <v>238</v>
      </c>
      <c r="C41" s="26" t="s">
        <v>240</v>
      </c>
      <c r="D41" s="7">
        <v>410</v>
      </c>
      <c r="H41" s="16" t="s">
        <v>91</v>
      </c>
      <c r="I41" s="48" t="s">
        <v>208</v>
      </c>
      <c r="J41" s="26" t="s">
        <v>207</v>
      </c>
      <c r="K41" s="7">
        <v>348</v>
      </c>
    </row>
    <row r="42" spans="1:12" x14ac:dyDescent="0.25">
      <c r="A42" s="16" t="s">
        <v>92</v>
      </c>
      <c r="B42" s="26" t="s">
        <v>236</v>
      </c>
      <c r="C42" s="26" t="s">
        <v>139</v>
      </c>
      <c r="D42" s="7">
        <v>409</v>
      </c>
      <c r="F42" s="24"/>
      <c r="H42" s="16" t="s">
        <v>92</v>
      </c>
      <c r="I42" s="26" t="s">
        <v>164</v>
      </c>
      <c r="J42" s="48" t="s">
        <v>133</v>
      </c>
      <c r="K42" s="7">
        <v>317</v>
      </c>
    </row>
    <row r="43" spans="1:12" x14ac:dyDescent="0.25">
      <c r="A43" s="16" t="s">
        <v>93</v>
      </c>
      <c r="B43" s="26" t="s">
        <v>33</v>
      </c>
      <c r="C43" s="59" t="s">
        <v>101</v>
      </c>
      <c r="D43" s="7">
        <v>407</v>
      </c>
      <c r="H43" s="16" t="s">
        <v>93</v>
      </c>
      <c r="I43" s="48" t="s">
        <v>134</v>
      </c>
      <c r="J43" s="48" t="s">
        <v>133</v>
      </c>
      <c r="K43" s="7">
        <v>289</v>
      </c>
    </row>
    <row r="44" spans="1:12" x14ac:dyDescent="0.25">
      <c r="A44" s="16" t="s">
        <v>94</v>
      </c>
      <c r="B44" s="26" t="s">
        <v>84</v>
      </c>
      <c r="C44" s="26" t="s">
        <v>129</v>
      </c>
      <c r="D44" s="7">
        <v>405</v>
      </c>
      <c r="E44" s="105">
        <v>133</v>
      </c>
    </row>
    <row r="45" spans="1:12" x14ac:dyDescent="0.25">
      <c r="A45" s="16" t="s">
        <v>95</v>
      </c>
      <c r="B45" t="s">
        <v>176</v>
      </c>
      <c r="C45" t="s">
        <v>127</v>
      </c>
      <c r="D45" s="7">
        <v>405</v>
      </c>
      <c r="E45" s="105">
        <v>107</v>
      </c>
      <c r="J45" s="107" t="s">
        <v>98</v>
      </c>
      <c r="K45" s="16">
        <f>AVERAGE(K7:K43)</f>
        <v>403.08108108108109</v>
      </c>
    </row>
    <row r="46" spans="1:12" x14ac:dyDescent="0.25">
      <c r="A46" s="16" t="s">
        <v>106</v>
      </c>
      <c r="B46" s="26" t="s">
        <v>200</v>
      </c>
      <c r="C46" s="26" t="s">
        <v>230</v>
      </c>
      <c r="D46" s="7">
        <v>402</v>
      </c>
    </row>
    <row r="47" spans="1:12" x14ac:dyDescent="0.25">
      <c r="A47" s="16" t="s">
        <v>107</v>
      </c>
      <c r="B47" s="48" t="s">
        <v>185</v>
      </c>
      <c r="C47" s="48" t="s">
        <v>113</v>
      </c>
      <c r="D47" s="7">
        <v>370</v>
      </c>
    </row>
    <row r="48" spans="1:12" x14ac:dyDescent="0.25">
      <c r="A48" s="16" t="s">
        <v>108</v>
      </c>
      <c r="B48" s="48" t="s">
        <v>199</v>
      </c>
      <c r="C48" s="48" t="s">
        <v>113</v>
      </c>
      <c r="D48" s="7">
        <v>351</v>
      </c>
      <c r="F48" s="24"/>
    </row>
    <row r="49" spans="1:6" x14ac:dyDescent="0.25">
      <c r="A49" s="16"/>
    </row>
    <row r="50" spans="1:6" x14ac:dyDescent="0.25">
      <c r="A50" s="16"/>
      <c r="F50" s="24"/>
    </row>
    <row r="51" spans="1:6" x14ac:dyDescent="0.25">
      <c r="A51" s="16"/>
      <c r="B51" s="48"/>
      <c r="C51" s="107" t="s">
        <v>98</v>
      </c>
      <c r="D51" s="16">
        <f>AVERAGE(D7:D48)</f>
        <v>449.16666666666669</v>
      </c>
    </row>
    <row r="52" spans="1:6" x14ac:dyDescent="0.25">
      <c r="A52" s="16"/>
      <c r="B52" s="26"/>
      <c r="C52" s="26"/>
      <c r="F52" s="24"/>
    </row>
    <row r="53" spans="1:6" x14ac:dyDescent="0.25">
      <c r="A53" s="16"/>
      <c r="B53" s="48"/>
      <c r="C53" s="48"/>
    </row>
    <row r="54" spans="1:6" x14ac:dyDescent="0.25">
      <c r="A54" s="16"/>
    </row>
    <row r="55" spans="1:6" x14ac:dyDescent="0.25">
      <c r="A55" s="16"/>
      <c r="B55" s="26"/>
      <c r="C55" s="26"/>
    </row>
    <row r="56" spans="1:6" x14ac:dyDescent="0.25">
      <c r="A56" s="16"/>
      <c r="B56" s="48"/>
      <c r="C56" s="48"/>
      <c r="F56" s="52"/>
    </row>
    <row r="57" spans="1:6" x14ac:dyDescent="0.25">
      <c r="A57" s="16"/>
      <c r="B57" s="26"/>
      <c r="C57" s="26"/>
      <c r="F57" s="52"/>
    </row>
    <row r="58" spans="1:6" x14ac:dyDescent="0.25">
      <c r="A58" s="16"/>
      <c r="B58" s="48"/>
      <c r="C58" s="48"/>
    </row>
    <row r="59" spans="1:6" x14ac:dyDescent="0.25">
      <c r="A59" s="16"/>
      <c r="B59" s="26"/>
      <c r="C59" s="26"/>
    </row>
    <row r="60" spans="1:6" x14ac:dyDescent="0.25">
      <c r="A60" s="16"/>
      <c r="B60" s="26"/>
      <c r="C60" s="26"/>
    </row>
    <row r="61" spans="1:6" x14ac:dyDescent="0.25">
      <c r="A61" s="16"/>
      <c r="B61" s="81"/>
      <c r="C61" s="81"/>
    </row>
    <row r="63" spans="1:6" x14ac:dyDescent="0.25">
      <c r="B63" s="26"/>
      <c r="C63" s="26"/>
    </row>
    <row r="64" spans="1:6" x14ac:dyDescent="0.25">
      <c r="C64" s="81"/>
    </row>
    <row r="66" spans="2:3" x14ac:dyDescent="0.25">
      <c r="B66" s="48"/>
      <c r="C66" s="48"/>
    </row>
    <row r="67" spans="2:3" x14ac:dyDescent="0.25">
      <c r="B67" s="73"/>
      <c r="C67" s="73"/>
    </row>
    <row r="68" spans="2:3" x14ac:dyDescent="0.25">
      <c r="B68" s="48"/>
      <c r="C68" s="48"/>
    </row>
    <row r="71" spans="2:3" x14ac:dyDescent="0.25">
      <c r="B71" s="48"/>
      <c r="C71" s="48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65"/>
  <sheetViews>
    <sheetView topLeftCell="A25" zoomScaleNormal="100" workbookViewId="0">
      <selection activeCell="M6" sqref="M6"/>
    </sheetView>
  </sheetViews>
  <sheetFormatPr defaultRowHeight="15.75" x14ac:dyDescent="0.25"/>
  <cols>
    <col min="1" max="1" width="2.42578125" style="16" customWidth="1"/>
    <col min="2" max="2" width="23" customWidth="1"/>
    <col min="3" max="3" width="16.42578125" customWidth="1"/>
    <col min="4" max="4" width="5.42578125" style="8" customWidth="1"/>
    <col min="5" max="5" width="7" style="8" customWidth="1"/>
    <col min="6" max="6" width="4.85546875" style="8" customWidth="1"/>
    <col min="7" max="7" width="3.5703125" style="8" customWidth="1"/>
    <col min="8" max="8" width="5.7109375" style="40" customWidth="1"/>
    <col min="9" max="9" width="7.140625" customWidth="1"/>
    <col min="10" max="10" width="7.42578125" customWidth="1"/>
    <col min="11" max="11" width="4.140625" customWidth="1"/>
  </cols>
  <sheetData>
    <row r="1" spans="1:15" ht="18.75" x14ac:dyDescent="0.3">
      <c r="B1" s="10" t="s">
        <v>229</v>
      </c>
      <c r="E1" s="11" t="s">
        <v>7</v>
      </c>
      <c r="F1" s="7"/>
      <c r="G1" s="7"/>
      <c r="H1" s="39" t="s">
        <v>8</v>
      </c>
    </row>
    <row r="3" spans="1:15" x14ac:dyDescent="0.25">
      <c r="A3" s="55"/>
      <c r="B3" s="53" t="s">
        <v>1</v>
      </c>
      <c r="C3" s="53" t="s">
        <v>2</v>
      </c>
      <c r="D3" s="53" t="s">
        <v>4</v>
      </c>
      <c r="E3" s="53" t="s">
        <v>5</v>
      </c>
      <c r="F3" s="53" t="s">
        <v>6</v>
      </c>
      <c r="G3" s="53">
        <v>9</v>
      </c>
      <c r="H3" s="42"/>
      <c r="I3" s="30"/>
      <c r="J3" s="30"/>
    </row>
    <row r="4" spans="1:15" ht="15.75" customHeight="1" x14ac:dyDescent="0.25">
      <c r="A4" s="56" t="s">
        <v>0</v>
      </c>
      <c r="B4" s="48" t="s">
        <v>141</v>
      </c>
      <c r="C4" s="48" t="s">
        <v>190</v>
      </c>
      <c r="D4" s="8">
        <v>310</v>
      </c>
      <c r="E4" s="8">
        <v>167</v>
      </c>
      <c r="F4" s="8">
        <v>1</v>
      </c>
      <c r="G4" s="8">
        <v>6</v>
      </c>
      <c r="H4" s="41">
        <f t="shared" ref="H4:H15" si="0">+D4+E4</f>
        <v>477</v>
      </c>
      <c r="I4" s="224">
        <f t="shared" ref="I4" si="1">+H4+H5</f>
        <v>964</v>
      </c>
      <c r="J4" s="221">
        <f>+I4+I6</f>
        <v>1962</v>
      </c>
      <c r="M4" s="26"/>
    </row>
    <row r="5" spans="1:15" ht="15.75" customHeight="1" x14ac:dyDescent="0.25">
      <c r="A5" s="56"/>
      <c r="B5" s="48" t="s">
        <v>87</v>
      </c>
      <c r="C5" s="48" t="s">
        <v>190</v>
      </c>
      <c r="D5" s="8">
        <v>323</v>
      </c>
      <c r="E5" s="8">
        <v>164</v>
      </c>
      <c r="F5" s="8">
        <v>4</v>
      </c>
      <c r="G5" s="8">
        <v>9</v>
      </c>
      <c r="H5" s="41">
        <f t="shared" si="0"/>
        <v>487</v>
      </c>
      <c r="I5" s="218"/>
      <c r="J5" s="222"/>
      <c r="M5" s="26"/>
    </row>
    <row r="6" spans="1:15" ht="15.75" customHeight="1" x14ac:dyDescent="0.25">
      <c r="A6" s="56"/>
      <c r="B6" s="48" t="s">
        <v>88</v>
      </c>
      <c r="C6" s="48" t="s">
        <v>190</v>
      </c>
      <c r="D6" s="19">
        <v>325</v>
      </c>
      <c r="E6" s="2">
        <v>211</v>
      </c>
      <c r="F6" s="2">
        <v>0</v>
      </c>
      <c r="G6" s="92">
        <v>13</v>
      </c>
      <c r="H6" s="120">
        <f t="shared" si="0"/>
        <v>536</v>
      </c>
      <c r="I6" s="218">
        <f t="shared" ref="I6" si="2">+H6+H7</f>
        <v>998</v>
      </c>
      <c r="J6" s="222"/>
    </row>
    <row r="7" spans="1:15" ht="15.75" customHeight="1" x14ac:dyDescent="0.25">
      <c r="A7" s="55"/>
      <c r="B7" s="51" t="s">
        <v>180</v>
      </c>
      <c r="C7" s="48" t="s">
        <v>190</v>
      </c>
      <c r="D7" s="31">
        <v>309</v>
      </c>
      <c r="E7" s="31">
        <v>153</v>
      </c>
      <c r="F7" s="31">
        <v>5</v>
      </c>
      <c r="G7" s="31">
        <v>9</v>
      </c>
      <c r="H7" s="42">
        <f t="shared" si="0"/>
        <v>462</v>
      </c>
      <c r="I7" s="219"/>
      <c r="J7" s="223"/>
      <c r="O7" s="48"/>
    </row>
    <row r="8" spans="1:15" x14ac:dyDescent="0.25">
      <c r="A8" s="57" t="s">
        <v>9</v>
      </c>
      <c r="B8" s="33" t="s">
        <v>78</v>
      </c>
      <c r="C8" s="33" t="s">
        <v>128</v>
      </c>
      <c r="D8" s="35">
        <v>313</v>
      </c>
      <c r="E8" s="35">
        <v>142</v>
      </c>
      <c r="F8" s="35">
        <v>3</v>
      </c>
      <c r="G8" s="35">
        <v>8</v>
      </c>
      <c r="H8" s="43">
        <f t="shared" si="0"/>
        <v>455</v>
      </c>
      <c r="I8" s="224">
        <f>+H8+H9</f>
        <v>941</v>
      </c>
      <c r="J8" s="221">
        <f t="shared" ref="J8" si="3">+I8+I10</f>
        <v>1909</v>
      </c>
    </row>
    <row r="9" spans="1:15" x14ac:dyDescent="0.25">
      <c r="A9" s="56"/>
      <c r="B9" s="26" t="s">
        <v>79</v>
      </c>
      <c r="C9" s="26" t="s">
        <v>128</v>
      </c>
      <c r="D9" s="25">
        <v>335</v>
      </c>
      <c r="E9" s="27">
        <v>151</v>
      </c>
      <c r="F9" s="27">
        <v>3</v>
      </c>
      <c r="G9" s="27">
        <v>8</v>
      </c>
      <c r="H9" s="41">
        <f t="shared" si="0"/>
        <v>486</v>
      </c>
      <c r="I9" s="218"/>
      <c r="J9" s="222"/>
    </row>
    <row r="10" spans="1:15" x14ac:dyDescent="0.25">
      <c r="A10" s="56"/>
      <c r="B10" s="26" t="s">
        <v>56</v>
      </c>
      <c r="C10" s="26" t="s">
        <v>128</v>
      </c>
      <c r="D10" s="27">
        <v>310</v>
      </c>
      <c r="E10" s="27">
        <v>154</v>
      </c>
      <c r="F10" s="27">
        <v>2</v>
      </c>
      <c r="G10" s="27">
        <v>5</v>
      </c>
      <c r="H10" s="41">
        <f t="shared" si="0"/>
        <v>464</v>
      </c>
      <c r="I10" s="218">
        <f>+H10+H11</f>
        <v>968</v>
      </c>
      <c r="J10" s="222"/>
    </row>
    <row r="11" spans="1:15" x14ac:dyDescent="0.25">
      <c r="A11" s="55"/>
      <c r="B11" s="30" t="s">
        <v>36</v>
      </c>
      <c r="C11" s="30" t="s">
        <v>128</v>
      </c>
      <c r="D11" s="31">
        <v>299</v>
      </c>
      <c r="E11" s="31">
        <v>205</v>
      </c>
      <c r="F11" s="31">
        <v>3</v>
      </c>
      <c r="G11" s="31">
        <v>11</v>
      </c>
      <c r="H11" s="187">
        <f t="shared" si="0"/>
        <v>504</v>
      </c>
      <c r="I11" s="219"/>
      <c r="J11" s="223"/>
    </row>
    <row r="12" spans="1:15" x14ac:dyDescent="0.25">
      <c r="A12" s="57" t="s">
        <v>10</v>
      </c>
      <c r="B12" s="48" t="s">
        <v>165</v>
      </c>
      <c r="C12" s="48" t="s">
        <v>171</v>
      </c>
      <c r="D12" s="8">
        <v>328</v>
      </c>
      <c r="E12" s="8">
        <v>129</v>
      </c>
      <c r="F12" s="8">
        <v>2</v>
      </c>
      <c r="G12" s="8">
        <v>7</v>
      </c>
      <c r="H12" s="41">
        <f t="shared" si="0"/>
        <v>457</v>
      </c>
      <c r="I12" s="218">
        <f t="shared" ref="I12" si="4">+H12+H13</f>
        <v>882</v>
      </c>
      <c r="J12" s="222">
        <f>+I12+I14</f>
        <v>1875</v>
      </c>
    </row>
    <row r="13" spans="1:15" x14ac:dyDescent="0.25">
      <c r="A13" s="56"/>
      <c r="B13" s="48" t="s">
        <v>170</v>
      </c>
      <c r="C13" s="48" t="s">
        <v>171</v>
      </c>
      <c r="D13" s="8">
        <v>302</v>
      </c>
      <c r="E13" s="19">
        <v>123</v>
      </c>
      <c r="F13" s="19">
        <v>4</v>
      </c>
      <c r="G13" s="8">
        <v>1</v>
      </c>
      <c r="H13" s="41">
        <f t="shared" si="0"/>
        <v>425</v>
      </c>
      <c r="I13" s="218"/>
      <c r="J13" s="222"/>
    </row>
    <row r="14" spans="1:15" x14ac:dyDescent="0.25">
      <c r="A14" s="56"/>
      <c r="B14" s="48" t="s">
        <v>202</v>
      </c>
      <c r="C14" s="48" t="s">
        <v>171</v>
      </c>
      <c r="D14" s="8">
        <v>319</v>
      </c>
      <c r="E14" s="8">
        <v>166</v>
      </c>
      <c r="F14" s="8">
        <v>1</v>
      </c>
      <c r="G14" s="8">
        <v>12</v>
      </c>
      <c r="H14" s="41">
        <f t="shared" si="0"/>
        <v>485</v>
      </c>
      <c r="I14" s="218">
        <f>+H14+H15</f>
        <v>993</v>
      </c>
      <c r="J14" s="222"/>
    </row>
    <row r="15" spans="1:15" x14ac:dyDescent="0.25">
      <c r="A15" s="55"/>
      <c r="B15" s="51" t="s">
        <v>114</v>
      </c>
      <c r="C15" s="51" t="s">
        <v>171</v>
      </c>
      <c r="D15" s="74">
        <v>333</v>
      </c>
      <c r="E15" s="31">
        <v>175</v>
      </c>
      <c r="F15" s="31">
        <v>4</v>
      </c>
      <c r="G15" s="31">
        <v>8</v>
      </c>
      <c r="H15" s="187">
        <f t="shared" si="0"/>
        <v>508</v>
      </c>
      <c r="I15" s="219"/>
      <c r="J15" s="223"/>
    </row>
    <row r="16" spans="1:15" ht="15.75" customHeight="1" x14ac:dyDescent="0.25">
      <c r="A16" s="57" t="s">
        <v>11</v>
      </c>
      <c r="B16" s="33" t="s">
        <v>173</v>
      </c>
      <c r="C16" s="33" t="s">
        <v>175</v>
      </c>
      <c r="D16" s="27">
        <v>294</v>
      </c>
      <c r="E16" s="27">
        <v>143</v>
      </c>
      <c r="F16" s="27">
        <v>2</v>
      </c>
      <c r="G16" s="27">
        <v>5</v>
      </c>
      <c r="H16" s="41">
        <f>+D16+E16</f>
        <v>437</v>
      </c>
      <c r="I16" s="225">
        <f t="shared" ref="I16" si="5">+H16+H17</f>
        <v>928</v>
      </c>
      <c r="J16" s="221">
        <f>+I16+I18</f>
        <v>1854</v>
      </c>
    </row>
    <row r="17" spans="1:14" ht="15" customHeight="1" x14ac:dyDescent="0.25">
      <c r="A17" s="56"/>
      <c r="B17" s="26" t="s">
        <v>242</v>
      </c>
      <c r="C17" s="26" t="s">
        <v>175</v>
      </c>
      <c r="D17" s="27">
        <v>315</v>
      </c>
      <c r="E17" s="27">
        <v>176</v>
      </c>
      <c r="F17" s="27">
        <v>1</v>
      </c>
      <c r="G17" s="27">
        <v>12</v>
      </c>
      <c r="H17" s="41">
        <f>+D17+E17</f>
        <v>491</v>
      </c>
      <c r="I17" s="218"/>
      <c r="J17" s="222"/>
    </row>
    <row r="18" spans="1:14" ht="15" customHeight="1" x14ac:dyDescent="0.25">
      <c r="A18" s="56"/>
      <c r="B18" s="26" t="s">
        <v>174</v>
      </c>
      <c r="C18" s="26" t="s">
        <v>175</v>
      </c>
      <c r="D18" s="27">
        <v>294</v>
      </c>
      <c r="E18" s="27">
        <v>160</v>
      </c>
      <c r="F18" s="27">
        <v>3</v>
      </c>
      <c r="G18" s="27">
        <v>7</v>
      </c>
      <c r="H18" s="41">
        <f>+D18+E18</f>
        <v>454</v>
      </c>
      <c r="I18" s="218">
        <f t="shared" ref="I18" si="6">+H18+H19</f>
        <v>926</v>
      </c>
      <c r="J18" s="222"/>
    </row>
    <row r="19" spans="1:14" ht="15" customHeight="1" x14ac:dyDescent="0.25">
      <c r="A19" s="55"/>
      <c r="B19" s="30" t="s">
        <v>155</v>
      </c>
      <c r="C19" s="30" t="s">
        <v>175</v>
      </c>
      <c r="D19" s="31">
        <v>326</v>
      </c>
      <c r="E19" s="31">
        <v>146</v>
      </c>
      <c r="F19" s="31">
        <v>4</v>
      </c>
      <c r="G19" s="31">
        <v>10</v>
      </c>
      <c r="H19" s="42">
        <f>+D19+E19</f>
        <v>472</v>
      </c>
      <c r="I19" s="219"/>
      <c r="J19" s="223"/>
    </row>
    <row r="20" spans="1:14" ht="15.75" customHeight="1" x14ac:dyDescent="0.25">
      <c r="A20" s="57" t="s">
        <v>12</v>
      </c>
      <c r="B20" s="26" t="s">
        <v>30</v>
      </c>
      <c r="C20" s="26" t="s">
        <v>129</v>
      </c>
      <c r="D20" s="93">
        <v>323</v>
      </c>
      <c r="E20" s="8">
        <v>187</v>
      </c>
      <c r="F20" s="2">
        <v>0</v>
      </c>
      <c r="G20" s="8">
        <v>11</v>
      </c>
      <c r="H20" s="120">
        <f t="shared" ref="H20" si="7">+D20+E20</f>
        <v>510</v>
      </c>
      <c r="I20" s="218">
        <f t="shared" ref="I20" si="8">+H20+H21</f>
        <v>970</v>
      </c>
      <c r="J20" s="222">
        <f t="shared" ref="J20" si="9">+I20+I22</f>
        <v>1808</v>
      </c>
    </row>
    <row r="21" spans="1:14" ht="15" customHeight="1" x14ac:dyDescent="0.25">
      <c r="A21" s="56"/>
      <c r="B21" s="26" t="s">
        <v>32</v>
      </c>
      <c r="C21" s="26" t="s">
        <v>129</v>
      </c>
      <c r="D21" s="93">
        <v>313</v>
      </c>
      <c r="E21" s="8">
        <v>147</v>
      </c>
      <c r="F21" s="8">
        <v>2</v>
      </c>
      <c r="G21" s="19">
        <v>8</v>
      </c>
      <c r="H21" s="41">
        <f>+D21+E21</f>
        <v>460</v>
      </c>
      <c r="I21" s="218"/>
      <c r="J21" s="222"/>
    </row>
    <row r="22" spans="1:14" ht="15" customHeight="1" x14ac:dyDescent="0.25">
      <c r="A22" s="56"/>
      <c r="B22" s="26" t="s">
        <v>83</v>
      </c>
      <c r="C22" s="26" t="s">
        <v>129</v>
      </c>
      <c r="D22" s="8">
        <v>289</v>
      </c>
      <c r="E22" s="19">
        <v>144</v>
      </c>
      <c r="F22" s="8">
        <v>3</v>
      </c>
      <c r="G22" s="8">
        <v>5</v>
      </c>
      <c r="H22" s="41">
        <f>+D22+E22</f>
        <v>433</v>
      </c>
      <c r="I22" s="218">
        <f t="shared" ref="I22" si="10">+H22+H23</f>
        <v>838</v>
      </c>
      <c r="J22" s="222"/>
    </row>
    <row r="23" spans="1:14" ht="15" customHeight="1" x14ac:dyDescent="0.25">
      <c r="A23" s="55"/>
      <c r="B23" s="30" t="s">
        <v>84</v>
      </c>
      <c r="C23" s="30" t="s">
        <v>129</v>
      </c>
      <c r="D23" s="31">
        <v>272</v>
      </c>
      <c r="E23" s="31">
        <v>133</v>
      </c>
      <c r="F23" s="31">
        <v>4</v>
      </c>
      <c r="G23" s="31">
        <v>1</v>
      </c>
      <c r="H23" s="42">
        <f t="shared" ref="H23" si="11">+D23+E23</f>
        <v>405</v>
      </c>
      <c r="I23" s="219"/>
      <c r="J23" s="223"/>
    </row>
    <row r="24" spans="1:14" ht="15" customHeight="1" x14ac:dyDescent="0.25">
      <c r="A24" s="57" t="s">
        <v>13</v>
      </c>
      <c r="B24" s="33" t="s">
        <v>241</v>
      </c>
      <c r="C24" s="26" t="s">
        <v>240</v>
      </c>
      <c r="D24" s="27">
        <v>297</v>
      </c>
      <c r="E24" s="27">
        <v>159</v>
      </c>
      <c r="F24" s="27">
        <v>5</v>
      </c>
      <c r="G24" s="27">
        <v>6</v>
      </c>
      <c r="H24" s="41">
        <f t="shared" ref="H24:H39" si="12">+D24+E24</f>
        <v>456</v>
      </c>
      <c r="I24" s="224">
        <f>+H24+H25</f>
        <v>866</v>
      </c>
      <c r="J24" s="221">
        <f t="shared" ref="J24" si="13">+I24+I26</f>
        <v>1761</v>
      </c>
    </row>
    <row r="25" spans="1:14" ht="15" customHeight="1" x14ac:dyDescent="0.25">
      <c r="A25" s="56"/>
      <c r="B25" s="26" t="s">
        <v>238</v>
      </c>
      <c r="C25" s="26" t="s">
        <v>240</v>
      </c>
      <c r="D25" s="27">
        <v>288</v>
      </c>
      <c r="E25" s="27">
        <v>122</v>
      </c>
      <c r="F25" s="27">
        <v>6</v>
      </c>
      <c r="G25" s="27">
        <v>4</v>
      </c>
      <c r="H25" s="41">
        <f t="shared" si="12"/>
        <v>410</v>
      </c>
      <c r="I25" s="218"/>
      <c r="J25" s="222"/>
    </row>
    <row r="26" spans="1:14" ht="15" customHeight="1" x14ac:dyDescent="0.25">
      <c r="A26" s="56"/>
      <c r="B26" s="26" t="s">
        <v>138</v>
      </c>
      <c r="C26" s="26" t="s">
        <v>240</v>
      </c>
      <c r="D26" s="27">
        <v>314</v>
      </c>
      <c r="E26" s="27">
        <v>170</v>
      </c>
      <c r="F26" s="27">
        <v>1</v>
      </c>
      <c r="G26" s="27">
        <v>7</v>
      </c>
      <c r="H26" s="41">
        <f t="shared" si="12"/>
        <v>484</v>
      </c>
      <c r="I26" s="218">
        <f>+H26+H27</f>
        <v>895</v>
      </c>
      <c r="J26" s="222"/>
    </row>
    <row r="27" spans="1:14" ht="15" customHeight="1" x14ac:dyDescent="0.25">
      <c r="A27" s="55"/>
      <c r="B27" s="30" t="s">
        <v>239</v>
      </c>
      <c r="C27" s="26" t="s">
        <v>240</v>
      </c>
      <c r="D27" s="31">
        <v>268</v>
      </c>
      <c r="E27" s="31">
        <v>143</v>
      </c>
      <c r="F27" s="31">
        <v>8</v>
      </c>
      <c r="G27" s="31">
        <v>5</v>
      </c>
      <c r="H27" s="42">
        <f t="shared" si="12"/>
        <v>411</v>
      </c>
      <c r="I27" s="219"/>
      <c r="J27" s="223"/>
      <c r="N27" t="s">
        <v>144</v>
      </c>
    </row>
    <row r="28" spans="1:14" ht="15" customHeight="1" x14ac:dyDescent="0.25">
      <c r="A28" s="57" t="s">
        <v>39</v>
      </c>
      <c r="B28" s="33" t="s">
        <v>59</v>
      </c>
      <c r="C28" s="33" t="s">
        <v>139</v>
      </c>
      <c r="D28" s="35">
        <v>308</v>
      </c>
      <c r="E28" s="35">
        <v>148</v>
      </c>
      <c r="F28" s="35">
        <v>4</v>
      </c>
      <c r="G28" s="35">
        <v>3</v>
      </c>
      <c r="H28" s="43">
        <f t="shared" si="12"/>
        <v>456</v>
      </c>
      <c r="I28" s="224">
        <f>+H28+H29</f>
        <v>914</v>
      </c>
      <c r="J28" s="221">
        <f>+I28+I30</f>
        <v>1741</v>
      </c>
    </row>
    <row r="29" spans="1:14" ht="15" customHeight="1" x14ac:dyDescent="0.25">
      <c r="A29" s="56"/>
      <c r="B29" s="26" t="s">
        <v>60</v>
      </c>
      <c r="C29" s="26" t="s">
        <v>139</v>
      </c>
      <c r="D29" s="27">
        <v>309</v>
      </c>
      <c r="E29" s="27">
        <v>149</v>
      </c>
      <c r="F29" s="27">
        <v>1</v>
      </c>
      <c r="G29" s="27">
        <v>5</v>
      </c>
      <c r="H29" s="41">
        <f t="shared" si="12"/>
        <v>458</v>
      </c>
      <c r="I29" s="218"/>
      <c r="J29" s="222"/>
    </row>
    <row r="30" spans="1:14" ht="15" customHeight="1" x14ac:dyDescent="0.25">
      <c r="A30" s="56"/>
      <c r="B30" s="26" t="s">
        <v>236</v>
      </c>
      <c r="C30" s="26" t="s">
        <v>139</v>
      </c>
      <c r="D30" s="27">
        <v>294</v>
      </c>
      <c r="E30" s="27">
        <v>115</v>
      </c>
      <c r="F30" s="27">
        <v>8</v>
      </c>
      <c r="G30" s="27">
        <v>2</v>
      </c>
      <c r="H30" s="41">
        <f t="shared" si="12"/>
        <v>409</v>
      </c>
      <c r="I30" s="218">
        <f>+H30+H31</f>
        <v>827</v>
      </c>
      <c r="J30" s="222"/>
    </row>
    <row r="31" spans="1:14" ht="15" customHeight="1" x14ac:dyDescent="0.25">
      <c r="A31" s="55"/>
      <c r="B31" s="30" t="s">
        <v>62</v>
      </c>
      <c r="C31" s="30" t="s">
        <v>139</v>
      </c>
      <c r="D31" s="31">
        <v>290</v>
      </c>
      <c r="E31" s="31">
        <v>128</v>
      </c>
      <c r="F31" s="31">
        <v>9</v>
      </c>
      <c r="G31" s="31">
        <v>6</v>
      </c>
      <c r="H31" s="42">
        <f t="shared" si="12"/>
        <v>418</v>
      </c>
      <c r="I31" s="219"/>
      <c r="J31" s="223"/>
    </row>
    <row r="32" spans="1:14" ht="15" customHeight="1" x14ac:dyDescent="0.25">
      <c r="A32" s="57" t="s">
        <v>40</v>
      </c>
      <c r="B32" s="33" t="s">
        <v>124</v>
      </c>
      <c r="C32" s="33" t="s">
        <v>127</v>
      </c>
      <c r="D32" s="27">
        <f>160+144</f>
        <v>304</v>
      </c>
      <c r="E32" s="27">
        <f>89+71</f>
        <v>160</v>
      </c>
      <c r="F32" s="27">
        <v>2</v>
      </c>
      <c r="G32" s="27">
        <v>6</v>
      </c>
      <c r="H32" s="41">
        <f t="shared" si="12"/>
        <v>464</v>
      </c>
      <c r="I32" s="218">
        <f>+H32+H33</f>
        <v>885</v>
      </c>
      <c r="J32" s="221">
        <f>+I32+I34</f>
        <v>1735</v>
      </c>
    </row>
    <row r="33" spans="1:11" x14ac:dyDescent="0.25">
      <c r="A33" s="56"/>
      <c r="B33" t="s">
        <v>125</v>
      </c>
      <c r="C33" s="26" t="s">
        <v>127</v>
      </c>
      <c r="D33" s="27">
        <f>147+125</f>
        <v>272</v>
      </c>
      <c r="E33" s="27">
        <f>80+69</f>
        <v>149</v>
      </c>
      <c r="F33" s="27">
        <v>4</v>
      </c>
      <c r="G33" s="27">
        <v>4</v>
      </c>
      <c r="H33" s="41">
        <f t="shared" si="12"/>
        <v>421</v>
      </c>
      <c r="I33" s="218"/>
      <c r="J33" s="222"/>
    </row>
    <row r="34" spans="1:11" x14ac:dyDescent="0.25">
      <c r="A34" s="56"/>
      <c r="B34" t="s">
        <v>176</v>
      </c>
      <c r="C34" s="26" t="s">
        <v>127</v>
      </c>
      <c r="D34" s="27">
        <f>150+148</f>
        <v>298</v>
      </c>
      <c r="E34" s="27">
        <f>62+45</f>
        <v>107</v>
      </c>
      <c r="F34" s="27">
        <v>8</v>
      </c>
      <c r="G34" s="27">
        <v>3</v>
      </c>
      <c r="H34" s="41">
        <f t="shared" si="12"/>
        <v>405</v>
      </c>
      <c r="I34" s="218">
        <f>+H34+H35</f>
        <v>850</v>
      </c>
      <c r="J34" s="222"/>
    </row>
    <row r="35" spans="1:11" x14ac:dyDescent="0.25">
      <c r="A35" s="55"/>
      <c r="B35" s="30" t="s">
        <v>99</v>
      </c>
      <c r="C35" s="30" t="s">
        <v>127</v>
      </c>
      <c r="D35" s="31">
        <f>151+143</f>
        <v>294</v>
      </c>
      <c r="E35" s="31">
        <f>71+80</f>
        <v>151</v>
      </c>
      <c r="F35" s="31">
        <v>2</v>
      </c>
      <c r="G35" s="31">
        <v>5</v>
      </c>
      <c r="H35" s="42">
        <f t="shared" si="12"/>
        <v>445</v>
      </c>
      <c r="I35" s="219"/>
      <c r="J35" s="223"/>
    </row>
    <row r="36" spans="1:11" x14ac:dyDescent="0.25">
      <c r="A36" s="56" t="s">
        <v>41</v>
      </c>
      <c r="B36" t="s">
        <v>126</v>
      </c>
      <c r="C36" t="s">
        <v>100</v>
      </c>
      <c r="D36" s="8">
        <v>307</v>
      </c>
      <c r="E36" s="8">
        <v>138</v>
      </c>
      <c r="F36" s="8">
        <v>9</v>
      </c>
      <c r="G36" s="8">
        <v>8</v>
      </c>
      <c r="H36" s="40">
        <f t="shared" si="12"/>
        <v>445</v>
      </c>
      <c r="I36" s="218">
        <f>+H36+H37</f>
        <v>893</v>
      </c>
      <c r="J36" s="221">
        <f>+I36+I38</f>
        <v>1730</v>
      </c>
    </row>
    <row r="37" spans="1:11" x14ac:dyDescent="0.25">
      <c r="A37" s="56"/>
      <c r="B37" t="s">
        <v>22</v>
      </c>
      <c r="C37" t="s">
        <v>100</v>
      </c>
      <c r="D37" s="8">
        <v>323</v>
      </c>
      <c r="E37" s="8">
        <v>125</v>
      </c>
      <c r="F37" s="8">
        <v>6</v>
      </c>
      <c r="G37" s="19">
        <v>8</v>
      </c>
      <c r="H37" s="40">
        <f t="shared" si="12"/>
        <v>448</v>
      </c>
      <c r="I37" s="225"/>
      <c r="J37" s="222"/>
    </row>
    <row r="38" spans="1:11" x14ac:dyDescent="0.25">
      <c r="A38" s="56"/>
      <c r="B38" t="s">
        <v>200</v>
      </c>
      <c r="C38" t="s">
        <v>100</v>
      </c>
      <c r="D38" s="8">
        <f>135+147</f>
        <v>282</v>
      </c>
      <c r="E38" s="8">
        <f>43+77</f>
        <v>120</v>
      </c>
      <c r="F38" s="8">
        <v>11</v>
      </c>
      <c r="G38" s="8">
        <v>6</v>
      </c>
      <c r="H38" s="40">
        <f t="shared" si="12"/>
        <v>402</v>
      </c>
      <c r="I38" s="225">
        <f>+H38+H39</f>
        <v>837</v>
      </c>
      <c r="J38" s="222"/>
    </row>
    <row r="39" spans="1:11" x14ac:dyDescent="0.25">
      <c r="A39" s="56"/>
      <c r="B39" s="30" t="s">
        <v>16</v>
      </c>
      <c r="C39" s="30" t="s">
        <v>100</v>
      </c>
      <c r="D39" s="31">
        <f>133+158</f>
        <v>291</v>
      </c>
      <c r="E39" s="31">
        <f>72+72</f>
        <v>144</v>
      </c>
      <c r="F39" s="31">
        <v>4</v>
      </c>
      <c r="G39" s="31">
        <v>5</v>
      </c>
      <c r="H39" s="42">
        <f t="shared" si="12"/>
        <v>435</v>
      </c>
      <c r="I39" s="219"/>
      <c r="J39" s="223"/>
    </row>
    <row r="40" spans="1:11" ht="18.75" x14ac:dyDescent="0.25">
      <c r="A40" s="56"/>
      <c r="B40" s="48" t="s">
        <v>86</v>
      </c>
      <c r="C40" s="48" t="s">
        <v>190</v>
      </c>
      <c r="D40" s="27">
        <v>303</v>
      </c>
      <c r="E40" s="27">
        <v>152</v>
      </c>
      <c r="F40" s="27">
        <v>5</v>
      </c>
      <c r="G40" s="27">
        <v>6</v>
      </c>
      <c r="H40" s="41">
        <f t="shared" ref="H40:H43" si="14">+D40+E40</f>
        <v>455</v>
      </c>
      <c r="I40" s="225">
        <f>+H40+H41</f>
        <v>919</v>
      </c>
      <c r="J40" s="134"/>
    </row>
    <row r="41" spans="1:11" ht="14.25" customHeight="1" x14ac:dyDescent="0.25">
      <c r="A41" s="56"/>
      <c r="B41" s="48" t="s">
        <v>232</v>
      </c>
      <c r="C41" s="48" t="s">
        <v>233</v>
      </c>
      <c r="D41" s="27">
        <v>302</v>
      </c>
      <c r="E41" s="27">
        <v>162</v>
      </c>
      <c r="F41" s="27">
        <v>4</v>
      </c>
      <c r="G41" s="27">
        <v>3</v>
      </c>
      <c r="H41" s="41">
        <f t="shared" si="14"/>
        <v>464</v>
      </c>
      <c r="I41" s="218"/>
      <c r="J41" s="134"/>
    </row>
    <row r="42" spans="1:11" ht="15.75" customHeight="1" x14ac:dyDescent="0.25">
      <c r="A42" s="56"/>
      <c r="B42" s="48" t="s">
        <v>199</v>
      </c>
      <c r="C42" s="48" t="s">
        <v>113</v>
      </c>
      <c r="D42" s="27">
        <v>286</v>
      </c>
      <c r="E42" s="27">
        <v>65</v>
      </c>
      <c r="F42" s="27">
        <v>22</v>
      </c>
      <c r="G42" s="27">
        <v>7</v>
      </c>
      <c r="H42" s="41">
        <f t="shared" si="14"/>
        <v>351</v>
      </c>
      <c r="I42" s="218">
        <f>+H42+H43</f>
        <v>721</v>
      </c>
      <c r="J42" s="134"/>
      <c r="K42" s="50"/>
    </row>
    <row r="43" spans="1:11" x14ac:dyDescent="0.25">
      <c r="B43" s="48" t="s">
        <v>185</v>
      </c>
      <c r="C43" s="48" t="s">
        <v>113</v>
      </c>
      <c r="D43" s="8">
        <v>263</v>
      </c>
      <c r="E43" s="8">
        <v>107</v>
      </c>
      <c r="F43" s="8">
        <v>12</v>
      </c>
      <c r="G43" s="8">
        <v>5</v>
      </c>
      <c r="H43" s="41">
        <f t="shared" si="14"/>
        <v>370</v>
      </c>
      <c r="I43" s="218"/>
      <c r="J43" s="26"/>
    </row>
    <row r="44" spans="1:11" x14ac:dyDescent="0.25">
      <c r="B44" s="26" t="s">
        <v>34</v>
      </c>
      <c r="C44" s="59" t="s">
        <v>101</v>
      </c>
      <c r="D44" s="28">
        <v>275</v>
      </c>
      <c r="E44" s="27">
        <v>168</v>
      </c>
      <c r="F44" s="27">
        <v>4</v>
      </c>
      <c r="G44" s="27">
        <v>7</v>
      </c>
      <c r="H44" s="41">
        <f>+D44+E44</f>
        <v>443</v>
      </c>
      <c r="I44" s="218">
        <f>+H44+H45</f>
        <v>850</v>
      </c>
    </row>
    <row r="45" spans="1:11" x14ac:dyDescent="0.25">
      <c r="B45" s="26" t="s">
        <v>33</v>
      </c>
      <c r="C45" s="59" t="s">
        <v>101</v>
      </c>
      <c r="D45" s="27">
        <v>285</v>
      </c>
      <c r="E45" s="27">
        <v>122</v>
      </c>
      <c r="F45" s="27">
        <v>5</v>
      </c>
      <c r="G45" s="27">
        <v>2</v>
      </c>
      <c r="H45" s="41">
        <f>+D45+E45</f>
        <v>407</v>
      </c>
      <c r="I45" s="218"/>
    </row>
    <row r="46" spans="1:11" x14ac:dyDescent="0.25">
      <c r="B46" s="26"/>
      <c r="C46" s="26"/>
      <c r="D46" s="27"/>
      <c r="E46" s="27"/>
      <c r="F46" s="27"/>
      <c r="G46" s="27"/>
      <c r="H46" s="41"/>
      <c r="I46" s="26"/>
    </row>
    <row r="47" spans="1:11" ht="15" x14ac:dyDescent="0.25">
      <c r="C47" s="44" t="s">
        <v>98</v>
      </c>
      <c r="D47" s="37">
        <f>AVERAGE(D12:D42)</f>
        <v>301.22580645161293</v>
      </c>
      <c r="E47" s="37">
        <f>AVERAGE(E12:E42)</f>
        <v>143.09677419354838</v>
      </c>
      <c r="F47" s="38">
        <f>AVERAGE(F12:F43)</f>
        <v>5.03125</v>
      </c>
      <c r="G47" s="38">
        <f>AVERAGE(G12:G43)</f>
        <v>5.96875</v>
      </c>
      <c r="H47" s="37">
        <f>AVERAGE(H12:H42)</f>
        <v>444.32258064516128</v>
      </c>
    </row>
    <row r="54" spans="2:3" x14ac:dyDescent="0.25">
      <c r="B54" s="48"/>
      <c r="C54" s="48"/>
    </row>
    <row r="55" spans="2:3" x14ac:dyDescent="0.25">
      <c r="B55" s="48"/>
      <c r="C55" s="48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75"/>
      <c r="C62" s="75"/>
    </row>
    <row r="63" spans="2:3" x14ac:dyDescent="0.25">
      <c r="B63" s="75"/>
      <c r="C63" s="75"/>
    </row>
    <row r="64" spans="2:3" x14ac:dyDescent="0.25">
      <c r="B64" s="75"/>
      <c r="C64" s="75"/>
    </row>
    <row r="65" spans="2:3" x14ac:dyDescent="0.25">
      <c r="B65" s="75"/>
      <c r="C65" s="75"/>
    </row>
  </sheetData>
  <mergeCells count="30">
    <mergeCell ref="I44:I45"/>
    <mergeCell ref="I32:I33"/>
    <mergeCell ref="J32:J35"/>
    <mergeCell ref="I30:I31"/>
    <mergeCell ref="I40:I41"/>
    <mergeCell ref="I42:I43"/>
    <mergeCell ref="J36:J39"/>
    <mergeCell ref="I38:I39"/>
    <mergeCell ref="I36:I37"/>
    <mergeCell ref="I34:I35"/>
    <mergeCell ref="I16:I17"/>
    <mergeCell ref="I18:I19"/>
    <mergeCell ref="J16:J19"/>
    <mergeCell ref="I4:I5"/>
    <mergeCell ref="J4:J7"/>
    <mergeCell ref="I6:I7"/>
    <mergeCell ref="I12:I13"/>
    <mergeCell ref="J12:J15"/>
    <mergeCell ref="I14:I15"/>
    <mergeCell ref="I8:I9"/>
    <mergeCell ref="J8:J11"/>
    <mergeCell ref="I10:I11"/>
    <mergeCell ref="I20:I21"/>
    <mergeCell ref="J20:J23"/>
    <mergeCell ref="I22:I23"/>
    <mergeCell ref="I28:I29"/>
    <mergeCell ref="J28:J31"/>
    <mergeCell ref="I24:I25"/>
    <mergeCell ref="J24:J27"/>
    <mergeCell ref="I26:I27"/>
  </mergeCells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55"/>
  <sheetViews>
    <sheetView topLeftCell="A4" workbookViewId="0">
      <selection activeCell="O36" sqref="O36"/>
    </sheetView>
  </sheetViews>
  <sheetFormatPr defaultRowHeight="18.75" x14ac:dyDescent="0.3"/>
  <cols>
    <col min="1" max="1" width="3" style="15" customWidth="1"/>
    <col min="2" max="2" width="19.7109375" customWidth="1"/>
    <col min="3" max="3" width="16.28515625" customWidth="1"/>
    <col min="4" max="4" width="5.5703125" style="8" customWidth="1"/>
    <col min="5" max="5" width="7" style="8" customWidth="1"/>
    <col min="6" max="6" width="3.7109375" style="8" customWidth="1"/>
    <col min="7" max="7" width="5.28515625" style="8" customWidth="1"/>
    <col min="8" max="8" width="5.7109375" style="12" customWidth="1"/>
    <col min="9" max="9" width="7.7109375" style="71" customWidth="1"/>
    <col min="10" max="10" width="6.85546875" style="63" customWidth="1"/>
    <col min="11" max="11" width="2.28515625" customWidth="1"/>
    <col min="12" max="12" width="3.5703125" customWidth="1"/>
  </cols>
  <sheetData>
    <row r="1" spans="1:12" x14ac:dyDescent="0.3">
      <c r="A1" s="16"/>
      <c r="B1" s="5" t="s">
        <v>228</v>
      </c>
      <c r="E1" s="9" t="s">
        <v>14</v>
      </c>
      <c r="F1" s="9"/>
      <c r="G1" s="7"/>
      <c r="H1" s="6" t="s">
        <v>8</v>
      </c>
    </row>
    <row r="2" spans="1:12" ht="6" customHeight="1" x14ac:dyDescent="0.3">
      <c r="A2" s="16"/>
    </row>
    <row r="3" spans="1:12" x14ac:dyDescent="0.3">
      <c r="A3" s="55"/>
      <c r="B3" s="1" t="s">
        <v>1</v>
      </c>
      <c r="C3" s="1" t="s">
        <v>2</v>
      </c>
      <c r="D3" s="1" t="s">
        <v>4</v>
      </c>
      <c r="E3" s="1" t="s">
        <v>5</v>
      </c>
      <c r="F3" s="1">
        <v>9</v>
      </c>
      <c r="G3" s="1" t="s">
        <v>6</v>
      </c>
    </row>
    <row r="4" spans="1:12" ht="15" x14ac:dyDescent="0.25">
      <c r="A4" s="56" t="s">
        <v>0</v>
      </c>
      <c r="B4" s="33" t="s">
        <v>17</v>
      </c>
      <c r="C4" s="33" t="s">
        <v>18</v>
      </c>
      <c r="D4" s="35">
        <v>292</v>
      </c>
      <c r="E4" s="35">
        <v>126</v>
      </c>
      <c r="F4" s="35">
        <v>5</v>
      </c>
      <c r="G4" s="35">
        <v>13</v>
      </c>
      <c r="H4" s="34">
        <f t="shared" ref="H4:H7" si="0">+D4+E4</f>
        <v>418</v>
      </c>
      <c r="I4" s="237">
        <f>+H4+H5</f>
        <v>887</v>
      </c>
      <c r="J4" s="221">
        <f>+I4+I6</f>
        <v>1786</v>
      </c>
    </row>
    <row r="5" spans="1:12" ht="15" x14ac:dyDescent="0.25">
      <c r="A5" s="56"/>
      <c r="B5" s="26" t="s">
        <v>21</v>
      </c>
      <c r="C5" s="26" t="s">
        <v>18</v>
      </c>
      <c r="D5" s="27">
        <v>303</v>
      </c>
      <c r="E5" s="27">
        <v>166</v>
      </c>
      <c r="F5" s="27">
        <v>9</v>
      </c>
      <c r="G5" s="27">
        <v>3</v>
      </c>
      <c r="H5" s="36">
        <f t="shared" si="0"/>
        <v>469</v>
      </c>
      <c r="I5" s="238"/>
      <c r="J5" s="222"/>
    </row>
    <row r="6" spans="1:12" ht="15" x14ac:dyDescent="0.25">
      <c r="A6" s="56"/>
      <c r="B6" s="26" t="s">
        <v>20</v>
      </c>
      <c r="C6" s="26" t="s">
        <v>18</v>
      </c>
      <c r="D6" s="8">
        <v>302</v>
      </c>
      <c r="E6" s="8">
        <v>141</v>
      </c>
      <c r="F6" s="8">
        <v>4</v>
      </c>
      <c r="G6" s="8">
        <v>9</v>
      </c>
      <c r="H6" s="36">
        <f t="shared" si="0"/>
        <v>443</v>
      </c>
      <c r="I6" s="238">
        <f>+H6+H7</f>
        <v>899</v>
      </c>
      <c r="J6" s="222"/>
    </row>
    <row r="7" spans="1:12" ht="15" x14ac:dyDescent="0.25">
      <c r="A7" s="55"/>
      <c r="B7" s="30" t="s">
        <v>23</v>
      </c>
      <c r="C7" s="30" t="s">
        <v>18</v>
      </c>
      <c r="D7" s="31">
        <v>280</v>
      </c>
      <c r="E7" s="31">
        <v>176</v>
      </c>
      <c r="F7" s="31">
        <v>5</v>
      </c>
      <c r="G7" s="31">
        <v>6</v>
      </c>
      <c r="H7" s="77">
        <f t="shared" si="0"/>
        <v>456</v>
      </c>
      <c r="I7" s="239"/>
      <c r="J7" s="223"/>
    </row>
    <row r="8" spans="1:12" ht="15" customHeight="1" x14ac:dyDescent="0.25">
      <c r="A8" s="57" t="s">
        <v>9</v>
      </c>
      <c r="B8" s="26" t="s">
        <v>135</v>
      </c>
      <c r="C8" s="131" t="s">
        <v>131</v>
      </c>
      <c r="D8" s="35">
        <v>307</v>
      </c>
      <c r="E8" s="35">
        <v>164</v>
      </c>
      <c r="F8" s="35">
        <v>11</v>
      </c>
      <c r="G8" s="35">
        <v>5</v>
      </c>
      <c r="H8" s="34">
        <f t="shared" ref="H8:H11" si="1">+D8+E8</f>
        <v>471</v>
      </c>
      <c r="I8" s="237">
        <f>+H8+H9</f>
        <v>925</v>
      </c>
      <c r="J8" s="221">
        <f>+I8+I10</f>
        <v>1741</v>
      </c>
    </row>
    <row r="9" spans="1:12" ht="15" customHeight="1" x14ac:dyDescent="0.25">
      <c r="A9" s="56"/>
      <c r="B9" s="26" t="s">
        <v>132</v>
      </c>
      <c r="C9" s="131" t="s">
        <v>131</v>
      </c>
      <c r="D9" s="8">
        <v>305</v>
      </c>
      <c r="E9" s="8">
        <v>149</v>
      </c>
      <c r="F9" s="8">
        <v>4</v>
      </c>
      <c r="G9" s="8">
        <v>5</v>
      </c>
      <c r="H9" s="36">
        <f t="shared" si="1"/>
        <v>454</v>
      </c>
      <c r="I9" s="238"/>
      <c r="J9" s="222"/>
      <c r="L9" s="50">
        <f>+E8+E9+E10+E11</f>
        <v>571</v>
      </c>
    </row>
    <row r="10" spans="1:12" ht="15" customHeight="1" x14ac:dyDescent="0.25">
      <c r="A10" s="56"/>
      <c r="B10" s="48" t="s">
        <v>136</v>
      </c>
      <c r="C10" s="131" t="s">
        <v>131</v>
      </c>
      <c r="D10" s="8">
        <v>266</v>
      </c>
      <c r="E10" s="8">
        <v>133</v>
      </c>
      <c r="F10" s="8">
        <v>6</v>
      </c>
      <c r="G10" s="8">
        <v>6</v>
      </c>
      <c r="H10" s="36">
        <f t="shared" si="1"/>
        <v>399</v>
      </c>
      <c r="I10" s="238">
        <f>+H10+H11</f>
        <v>816</v>
      </c>
      <c r="J10" s="222"/>
    </row>
    <row r="11" spans="1:12" ht="15" customHeight="1" x14ac:dyDescent="0.25">
      <c r="A11" s="55"/>
      <c r="B11" s="30" t="s">
        <v>137</v>
      </c>
      <c r="C11" s="132" t="s">
        <v>131</v>
      </c>
      <c r="D11" s="31">
        <v>292</v>
      </c>
      <c r="E11" s="31">
        <v>125</v>
      </c>
      <c r="F11" s="31">
        <v>6</v>
      </c>
      <c r="G11" s="31">
        <v>12</v>
      </c>
      <c r="H11" s="77">
        <f t="shared" si="1"/>
        <v>417</v>
      </c>
      <c r="I11" s="239"/>
      <c r="J11" s="223"/>
    </row>
    <row r="12" spans="1:12" ht="15" customHeight="1" x14ac:dyDescent="0.25">
      <c r="A12" s="57" t="s">
        <v>10</v>
      </c>
      <c r="B12" s="33" t="s">
        <v>160</v>
      </c>
      <c r="C12" s="33" t="s">
        <v>161</v>
      </c>
      <c r="D12" s="35">
        <v>294</v>
      </c>
      <c r="E12" s="35">
        <v>133</v>
      </c>
      <c r="F12" s="35">
        <v>5</v>
      </c>
      <c r="G12" s="35">
        <v>5</v>
      </c>
      <c r="H12" s="34">
        <f t="shared" ref="H12:H15" si="2">+D12+E12</f>
        <v>427</v>
      </c>
      <c r="I12" s="237">
        <f>+H12+H13</f>
        <v>869</v>
      </c>
      <c r="J12" s="221">
        <f>+I12+I14</f>
        <v>1741</v>
      </c>
    </row>
    <row r="13" spans="1:12" ht="15" customHeight="1" x14ac:dyDescent="0.25">
      <c r="A13" s="56"/>
      <c r="B13" t="s">
        <v>153</v>
      </c>
      <c r="C13" s="26" t="s">
        <v>161</v>
      </c>
      <c r="D13" s="25">
        <v>321</v>
      </c>
      <c r="E13" s="27">
        <v>121</v>
      </c>
      <c r="F13" s="27">
        <v>6</v>
      </c>
      <c r="G13" s="27">
        <v>7</v>
      </c>
      <c r="H13" s="36">
        <f t="shared" si="2"/>
        <v>442</v>
      </c>
      <c r="I13" s="238"/>
      <c r="J13" s="222"/>
      <c r="L13" s="50">
        <f>+E12+E13+E14+E15</f>
        <v>513</v>
      </c>
    </row>
    <row r="14" spans="1:12" ht="15" customHeight="1" x14ac:dyDescent="0.25">
      <c r="A14" s="56"/>
      <c r="B14" t="s">
        <v>163</v>
      </c>
      <c r="C14" s="26" t="s">
        <v>161</v>
      </c>
      <c r="D14" s="27">
        <v>294</v>
      </c>
      <c r="E14" s="27">
        <v>136</v>
      </c>
      <c r="F14" s="27">
        <v>8</v>
      </c>
      <c r="G14" s="27">
        <v>5</v>
      </c>
      <c r="H14" s="36">
        <f t="shared" si="2"/>
        <v>430</v>
      </c>
      <c r="I14" s="238">
        <f>+H14+H15</f>
        <v>872</v>
      </c>
      <c r="J14" s="222"/>
    </row>
    <row r="15" spans="1:12" ht="15" customHeight="1" x14ac:dyDescent="0.25">
      <c r="A15" s="55"/>
      <c r="B15" s="26" t="s">
        <v>162</v>
      </c>
      <c r="C15" s="26" t="s">
        <v>161</v>
      </c>
      <c r="D15" s="31">
        <v>319</v>
      </c>
      <c r="E15" s="31">
        <v>123</v>
      </c>
      <c r="F15" s="31">
        <v>10</v>
      </c>
      <c r="G15" s="31">
        <v>7</v>
      </c>
      <c r="H15" s="77">
        <f t="shared" si="2"/>
        <v>442</v>
      </c>
      <c r="I15" s="239"/>
      <c r="J15" s="223"/>
    </row>
    <row r="16" spans="1:12" ht="15" x14ac:dyDescent="0.25">
      <c r="A16" s="57" t="s">
        <v>11</v>
      </c>
      <c r="B16" s="33" t="s">
        <v>64</v>
      </c>
      <c r="C16" s="33" t="s">
        <v>63</v>
      </c>
      <c r="D16" s="35">
        <v>293</v>
      </c>
      <c r="E16" s="35">
        <v>142</v>
      </c>
      <c r="F16" s="35">
        <v>4</v>
      </c>
      <c r="G16" s="35">
        <v>5</v>
      </c>
      <c r="H16" s="34">
        <f t="shared" ref="H16:H37" si="3">+D16+E16</f>
        <v>435</v>
      </c>
      <c r="I16" s="237">
        <f t="shared" ref="I16" si="4">+H16+H17</f>
        <v>895</v>
      </c>
      <c r="J16" s="221">
        <f>+I16+I18</f>
        <v>1732</v>
      </c>
    </row>
    <row r="17" spans="1:12" ht="15" x14ac:dyDescent="0.25">
      <c r="A17" s="56"/>
      <c r="B17" s="48" t="s">
        <v>177</v>
      </c>
      <c r="C17" s="26" t="s">
        <v>63</v>
      </c>
      <c r="D17" s="27">
        <v>283</v>
      </c>
      <c r="E17" s="25">
        <v>177</v>
      </c>
      <c r="F17" s="25">
        <v>12</v>
      </c>
      <c r="G17" s="27">
        <v>5</v>
      </c>
      <c r="H17" s="36">
        <f t="shared" si="3"/>
        <v>460</v>
      </c>
      <c r="I17" s="238"/>
      <c r="J17" s="222"/>
    </row>
    <row r="18" spans="1:12" ht="15" x14ac:dyDescent="0.25">
      <c r="A18" s="56"/>
      <c r="B18" s="26" t="s">
        <v>65</v>
      </c>
      <c r="C18" s="26" t="s">
        <v>63</v>
      </c>
      <c r="D18" s="27">
        <v>286</v>
      </c>
      <c r="E18" s="27">
        <v>107</v>
      </c>
      <c r="F18" s="27">
        <v>5</v>
      </c>
      <c r="G18" s="27">
        <v>13</v>
      </c>
      <c r="H18" s="36">
        <f t="shared" si="3"/>
        <v>393</v>
      </c>
      <c r="I18" s="238">
        <f>+H18+H19</f>
        <v>837</v>
      </c>
      <c r="J18" s="222"/>
    </row>
    <row r="19" spans="1:12" ht="15" x14ac:dyDescent="0.25">
      <c r="A19" s="55"/>
      <c r="B19" s="30" t="s">
        <v>178</v>
      </c>
      <c r="C19" s="30" t="s">
        <v>63</v>
      </c>
      <c r="D19" s="31">
        <v>308</v>
      </c>
      <c r="E19" s="31">
        <v>136</v>
      </c>
      <c r="F19" s="31">
        <v>5</v>
      </c>
      <c r="G19" s="31">
        <v>9</v>
      </c>
      <c r="H19" s="77">
        <f t="shared" si="3"/>
        <v>444</v>
      </c>
      <c r="I19" s="239"/>
      <c r="J19" s="223"/>
    </row>
    <row r="20" spans="1:12" ht="15" x14ac:dyDescent="0.25">
      <c r="A20" s="57" t="s">
        <v>12</v>
      </c>
      <c r="B20" s="33" t="s">
        <v>212</v>
      </c>
      <c r="C20" s="33" t="s">
        <v>211</v>
      </c>
      <c r="D20" s="8">
        <v>320</v>
      </c>
      <c r="E20" s="8">
        <v>156</v>
      </c>
      <c r="F20" s="8">
        <v>8</v>
      </c>
      <c r="G20" s="2">
        <v>0</v>
      </c>
      <c r="H20" s="36">
        <f t="shared" si="3"/>
        <v>476</v>
      </c>
      <c r="I20" s="238">
        <f>+H20+H21</f>
        <v>900</v>
      </c>
      <c r="J20" s="221">
        <f>+I20+I22</f>
        <v>1686</v>
      </c>
    </row>
    <row r="21" spans="1:12" ht="15" x14ac:dyDescent="0.25">
      <c r="A21" s="56"/>
      <c r="B21" s="48" t="s">
        <v>213</v>
      </c>
      <c r="C21" s="26" t="s">
        <v>211</v>
      </c>
      <c r="D21" s="8">
        <v>276</v>
      </c>
      <c r="E21" s="8">
        <v>148</v>
      </c>
      <c r="F21" s="8">
        <v>4</v>
      </c>
      <c r="G21" s="8">
        <v>6</v>
      </c>
      <c r="H21" s="36">
        <f t="shared" si="3"/>
        <v>424</v>
      </c>
      <c r="I21" s="238"/>
      <c r="J21" s="222"/>
    </row>
    <row r="22" spans="1:12" ht="15" x14ac:dyDescent="0.25">
      <c r="A22" s="56"/>
      <c r="B22" s="26" t="s">
        <v>214</v>
      </c>
      <c r="C22" s="26" t="s">
        <v>211</v>
      </c>
      <c r="D22" s="27">
        <v>294</v>
      </c>
      <c r="E22" s="27">
        <v>113</v>
      </c>
      <c r="F22" s="27">
        <v>7</v>
      </c>
      <c r="G22" s="27">
        <v>10</v>
      </c>
      <c r="H22" s="36">
        <f t="shared" si="3"/>
        <v>407</v>
      </c>
      <c r="I22" s="238">
        <f>+H22+H23</f>
        <v>786</v>
      </c>
      <c r="J22" s="222"/>
    </row>
    <row r="23" spans="1:12" ht="15" x14ac:dyDescent="0.25">
      <c r="A23" s="55"/>
      <c r="B23" s="30" t="s">
        <v>215</v>
      </c>
      <c r="C23" s="30" t="s">
        <v>211</v>
      </c>
      <c r="D23" s="31">
        <v>268</v>
      </c>
      <c r="E23" s="31">
        <v>111</v>
      </c>
      <c r="F23" s="31">
        <v>3</v>
      </c>
      <c r="G23" s="31">
        <v>13</v>
      </c>
      <c r="H23" s="77">
        <f t="shared" si="3"/>
        <v>379</v>
      </c>
      <c r="I23" s="239"/>
      <c r="J23" s="223"/>
    </row>
    <row r="24" spans="1:12" ht="15" customHeight="1" x14ac:dyDescent="0.25">
      <c r="A24" s="57" t="s">
        <v>13</v>
      </c>
      <c r="B24" s="48" t="s">
        <v>167</v>
      </c>
      <c r="C24" s="130" t="s">
        <v>168</v>
      </c>
      <c r="D24" s="27">
        <v>278</v>
      </c>
      <c r="E24" s="27">
        <v>125</v>
      </c>
      <c r="F24" s="27">
        <v>5</v>
      </c>
      <c r="G24" s="27">
        <v>11</v>
      </c>
      <c r="H24" s="36">
        <f t="shared" si="3"/>
        <v>403</v>
      </c>
      <c r="I24" s="238">
        <f t="shared" ref="I24" si="5">+H24+H25</f>
        <v>809</v>
      </c>
      <c r="J24" s="221">
        <f>+I24+I26</f>
        <v>1561</v>
      </c>
    </row>
    <row r="25" spans="1:12" ht="15" customHeight="1" x14ac:dyDescent="0.25">
      <c r="A25" s="56"/>
      <c r="B25" s="48" t="s">
        <v>234</v>
      </c>
      <c r="C25" s="131" t="s">
        <v>168</v>
      </c>
      <c r="D25" s="27">
        <v>303</v>
      </c>
      <c r="E25" s="27">
        <v>103</v>
      </c>
      <c r="F25" s="27">
        <v>6</v>
      </c>
      <c r="G25" s="27">
        <v>9</v>
      </c>
      <c r="H25" s="36">
        <f t="shared" si="3"/>
        <v>406</v>
      </c>
      <c r="I25" s="238"/>
      <c r="J25" s="222"/>
      <c r="L25" s="50">
        <v>456</v>
      </c>
    </row>
    <row r="26" spans="1:12" ht="15" customHeight="1" x14ac:dyDescent="0.25">
      <c r="A26" s="56"/>
      <c r="B26" s="48" t="s">
        <v>235</v>
      </c>
      <c r="C26" s="131" t="s">
        <v>168</v>
      </c>
      <c r="D26" s="27">
        <v>259</v>
      </c>
      <c r="E26" s="27">
        <v>107</v>
      </c>
      <c r="F26" s="27">
        <v>5</v>
      </c>
      <c r="G26" s="27">
        <v>17</v>
      </c>
      <c r="H26" s="36">
        <f t="shared" si="3"/>
        <v>366</v>
      </c>
      <c r="I26" s="238">
        <f t="shared" ref="I26" si="6">+H26+H27</f>
        <v>752</v>
      </c>
      <c r="J26" s="222"/>
    </row>
    <row r="27" spans="1:12" ht="15" customHeight="1" x14ac:dyDescent="0.25">
      <c r="A27" s="55"/>
      <c r="B27" s="51" t="s">
        <v>181</v>
      </c>
      <c r="C27" s="132" t="s">
        <v>168</v>
      </c>
      <c r="D27" s="31">
        <v>265</v>
      </c>
      <c r="E27" s="31">
        <v>121</v>
      </c>
      <c r="F27" s="31">
        <v>5</v>
      </c>
      <c r="G27" s="31">
        <v>13</v>
      </c>
      <c r="H27" s="77">
        <f t="shared" si="3"/>
        <v>386</v>
      </c>
      <c r="I27" s="239"/>
      <c r="J27" s="223"/>
    </row>
    <row r="28" spans="1:12" ht="16.5" customHeight="1" x14ac:dyDescent="0.25">
      <c r="A28" s="61" t="s">
        <v>39</v>
      </c>
      <c r="B28" s="33" t="s">
        <v>24</v>
      </c>
      <c r="C28" s="130" t="s">
        <v>168</v>
      </c>
      <c r="D28" s="35">
        <v>286</v>
      </c>
      <c r="E28" s="35">
        <v>127</v>
      </c>
      <c r="F28" s="35">
        <v>7</v>
      </c>
      <c r="G28" s="35">
        <v>16</v>
      </c>
      <c r="H28" s="36">
        <f t="shared" si="3"/>
        <v>413</v>
      </c>
      <c r="I28" s="237">
        <f>+H28+H29</f>
        <v>815</v>
      </c>
      <c r="J28" s="221">
        <f>+I28+I30</f>
        <v>1561</v>
      </c>
    </row>
    <row r="29" spans="1:12" ht="15" customHeight="1" x14ac:dyDescent="0.25">
      <c r="A29" s="61"/>
      <c r="B29" s="26" t="s">
        <v>25</v>
      </c>
      <c r="C29" s="131" t="s">
        <v>168</v>
      </c>
      <c r="D29" s="27">
        <v>302</v>
      </c>
      <c r="E29" s="27">
        <v>100</v>
      </c>
      <c r="F29" s="27">
        <v>5</v>
      </c>
      <c r="G29" s="27">
        <v>10</v>
      </c>
      <c r="H29" s="36">
        <f t="shared" si="3"/>
        <v>402</v>
      </c>
      <c r="I29" s="238"/>
      <c r="J29" s="222"/>
      <c r="L29" s="50">
        <v>436</v>
      </c>
    </row>
    <row r="30" spans="1:12" ht="15" customHeight="1" x14ac:dyDescent="0.25">
      <c r="A30" s="61"/>
      <c r="B30" s="26" t="s">
        <v>115</v>
      </c>
      <c r="C30" s="131" t="s">
        <v>168</v>
      </c>
      <c r="D30" s="27">
        <v>265</v>
      </c>
      <c r="E30" s="27">
        <v>97</v>
      </c>
      <c r="F30" s="27">
        <v>4</v>
      </c>
      <c r="G30" s="27">
        <v>21</v>
      </c>
      <c r="H30" s="36">
        <f t="shared" si="3"/>
        <v>362</v>
      </c>
      <c r="I30" s="238">
        <f>+H30+H31</f>
        <v>746</v>
      </c>
      <c r="J30" s="222"/>
    </row>
    <row r="31" spans="1:12" ht="15" customHeight="1" x14ac:dyDescent="0.25">
      <c r="A31" s="62"/>
      <c r="B31" s="30" t="s">
        <v>169</v>
      </c>
      <c r="C31" s="132" t="s">
        <v>168</v>
      </c>
      <c r="D31" s="31">
        <v>272</v>
      </c>
      <c r="E31" s="31">
        <v>112</v>
      </c>
      <c r="F31" s="31">
        <v>2</v>
      </c>
      <c r="G31" s="31">
        <v>13</v>
      </c>
      <c r="H31" s="77">
        <f t="shared" si="3"/>
        <v>384</v>
      </c>
      <c r="I31" s="239"/>
      <c r="J31" s="223"/>
    </row>
    <row r="32" spans="1:12" ht="15" customHeight="1" x14ac:dyDescent="0.25">
      <c r="A32" s="61" t="s">
        <v>40</v>
      </c>
      <c r="B32" s="33" t="s">
        <v>152</v>
      </c>
      <c r="C32" s="130" t="s">
        <v>168</v>
      </c>
      <c r="D32" s="8">
        <v>267</v>
      </c>
      <c r="E32" s="8">
        <v>101</v>
      </c>
      <c r="F32" s="8">
        <v>4</v>
      </c>
      <c r="G32" s="8">
        <v>16</v>
      </c>
      <c r="H32" s="36">
        <f t="shared" si="3"/>
        <v>368</v>
      </c>
      <c r="I32" s="237">
        <f t="shared" ref="I32" si="7">+H32+H33</f>
        <v>729</v>
      </c>
      <c r="J32" s="221">
        <f>+I32+I34</f>
        <v>1525</v>
      </c>
    </row>
    <row r="33" spans="1:10" ht="15" customHeight="1" x14ac:dyDescent="0.25">
      <c r="A33" s="61"/>
      <c r="B33" s="48" t="s">
        <v>205</v>
      </c>
      <c r="C33" s="131" t="s">
        <v>168</v>
      </c>
      <c r="D33" s="8">
        <v>270</v>
      </c>
      <c r="E33" s="8">
        <v>91</v>
      </c>
      <c r="F33" s="8">
        <v>2</v>
      </c>
      <c r="G33" s="8">
        <v>14</v>
      </c>
      <c r="H33" s="36">
        <f t="shared" si="3"/>
        <v>361</v>
      </c>
      <c r="I33" s="238"/>
      <c r="J33" s="222"/>
    </row>
    <row r="34" spans="1:10" ht="15" customHeight="1" x14ac:dyDescent="0.25">
      <c r="A34" s="61"/>
      <c r="B34" s="26" t="s">
        <v>182</v>
      </c>
      <c r="C34" s="131" t="s">
        <v>168</v>
      </c>
      <c r="D34" s="27">
        <v>281</v>
      </c>
      <c r="E34" s="27">
        <v>88</v>
      </c>
      <c r="F34" s="27">
        <v>1</v>
      </c>
      <c r="G34" s="27">
        <v>15</v>
      </c>
      <c r="H34" s="36">
        <f t="shared" si="3"/>
        <v>369</v>
      </c>
      <c r="I34" s="238">
        <f>+H34+H35</f>
        <v>796</v>
      </c>
      <c r="J34" s="222"/>
    </row>
    <row r="35" spans="1:10" ht="15" customHeight="1" x14ac:dyDescent="0.25">
      <c r="A35" s="62"/>
      <c r="B35" s="30" t="s">
        <v>117</v>
      </c>
      <c r="C35" s="132" t="s">
        <v>168</v>
      </c>
      <c r="D35" s="31">
        <v>303</v>
      </c>
      <c r="E35" s="31">
        <v>124</v>
      </c>
      <c r="F35" s="31">
        <v>9</v>
      </c>
      <c r="G35" s="31">
        <v>10</v>
      </c>
      <c r="H35" s="77">
        <f t="shared" si="3"/>
        <v>427</v>
      </c>
      <c r="I35" s="239"/>
      <c r="J35" s="223"/>
    </row>
    <row r="36" spans="1:10" ht="15" customHeight="1" x14ac:dyDescent="0.25">
      <c r="A36" s="61" t="s">
        <v>41</v>
      </c>
      <c r="B36" s="48" t="s">
        <v>164</v>
      </c>
      <c r="C36" s="124" t="s">
        <v>133</v>
      </c>
      <c r="D36" s="27">
        <v>206</v>
      </c>
      <c r="E36" s="27">
        <v>111</v>
      </c>
      <c r="F36" s="27">
        <v>3</v>
      </c>
      <c r="G36" s="27">
        <v>20</v>
      </c>
      <c r="H36" s="36">
        <f t="shared" si="3"/>
        <v>317</v>
      </c>
      <c r="I36" s="238">
        <f>+H36+H37</f>
        <v>606</v>
      </c>
      <c r="J36" s="221">
        <f>+I36+I38</f>
        <v>1439</v>
      </c>
    </row>
    <row r="37" spans="1:10" ht="15" customHeight="1" x14ac:dyDescent="0.25">
      <c r="A37" s="56"/>
      <c r="B37" s="48" t="s">
        <v>134</v>
      </c>
      <c r="C37" s="124" t="s">
        <v>133</v>
      </c>
      <c r="D37" s="27">
        <v>218</v>
      </c>
      <c r="E37" s="27">
        <v>71</v>
      </c>
      <c r="F37" s="27">
        <v>2</v>
      </c>
      <c r="G37" s="27">
        <v>24</v>
      </c>
      <c r="H37" s="36">
        <f t="shared" si="3"/>
        <v>289</v>
      </c>
      <c r="I37" s="238"/>
      <c r="J37" s="222"/>
    </row>
    <row r="38" spans="1:10" ht="15" customHeight="1" x14ac:dyDescent="0.25">
      <c r="A38" s="61"/>
      <c r="B38" s="48" t="s">
        <v>154</v>
      </c>
      <c r="C38" s="124" t="s">
        <v>133</v>
      </c>
      <c r="D38" s="27">
        <v>278</v>
      </c>
      <c r="E38" s="27">
        <v>78</v>
      </c>
      <c r="F38" s="27">
        <v>1</v>
      </c>
      <c r="G38" s="27">
        <v>20</v>
      </c>
      <c r="H38" s="36">
        <f t="shared" ref="H38:H43" si="8">+D38+E38</f>
        <v>356</v>
      </c>
      <c r="I38" s="238">
        <f>+H38+H39</f>
        <v>833</v>
      </c>
      <c r="J38" s="222"/>
    </row>
    <row r="39" spans="1:10" ht="15" customHeight="1" x14ac:dyDescent="0.25">
      <c r="A39" s="62"/>
      <c r="B39" s="51" t="s">
        <v>130</v>
      </c>
      <c r="C39" s="129" t="s">
        <v>133</v>
      </c>
      <c r="D39" s="31">
        <v>317</v>
      </c>
      <c r="E39" s="31">
        <v>160</v>
      </c>
      <c r="F39" s="29">
        <v>12</v>
      </c>
      <c r="G39" s="31">
        <v>6</v>
      </c>
      <c r="H39" s="77">
        <f t="shared" si="8"/>
        <v>477</v>
      </c>
      <c r="I39" s="239"/>
      <c r="J39" s="223"/>
    </row>
    <row r="40" spans="1:10" ht="15" customHeight="1" x14ac:dyDescent="0.25">
      <c r="A40" s="61" t="s">
        <v>42</v>
      </c>
      <c r="B40" s="33" t="s">
        <v>206</v>
      </c>
      <c r="C40" s="33" t="s">
        <v>207</v>
      </c>
      <c r="D40" s="27">
        <v>261</v>
      </c>
      <c r="E40" s="27">
        <v>140</v>
      </c>
      <c r="F40" s="27">
        <v>3</v>
      </c>
      <c r="G40" s="27">
        <v>4</v>
      </c>
      <c r="H40" s="36">
        <f t="shared" si="8"/>
        <v>401</v>
      </c>
      <c r="I40" s="238">
        <f t="shared" ref="I40" si="9">+H40+H41</f>
        <v>766</v>
      </c>
      <c r="J40" s="221">
        <f>+I40+I42</f>
        <v>1476</v>
      </c>
    </row>
    <row r="41" spans="1:10" ht="15" customHeight="1" x14ac:dyDescent="0.25">
      <c r="A41" s="61"/>
      <c r="B41" s="48" t="s">
        <v>237</v>
      </c>
      <c r="C41" s="26" t="s">
        <v>207</v>
      </c>
      <c r="D41" s="27">
        <v>268</v>
      </c>
      <c r="E41" s="27">
        <v>97</v>
      </c>
      <c r="F41" s="27">
        <v>2</v>
      </c>
      <c r="G41" s="27">
        <v>14</v>
      </c>
      <c r="H41" s="36">
        <f t="shared" si="8"/>
        <v>365</v>
      </c>
      <c r="I41" s="238"/>
      <c r="J41" s="222"/>
    </row>
    <row r="42" spans="1:10" ht="15" customHeight="1" x14ac:dyDescent="0.25">
      <c r="A42" s="61"/>
      <c r="B42" s="48" t="s">
        <v>208</v>
      </c>
      <c r="C42" s="26" t="s">
        <v>207</v>
      </c>
      <c r="D42" s="27">
        <v>253</v>
      </c>
      <c r="E42" s="27">
        <v>95</v>
      </c>
      <c r="F42" s="27">
        <v>3</v>
      </c>
      <c r="G42" s="27">
        <v>14</v>
      </c>
      <c r="H42" s="36">
        <f t="shared" si="8"/>
        <v>348</v>
      </c>
      <c r="I42" s="238">
        <f t="shared" ref="I42" si="10">+H42+H43</f>
        <v>710</v>
      </c>
      <c r="J42" s="222"/>
    </row>
    <row r="43" spans="1:10" ht="15" customHeight="1" x14ac:dyDescent="0.25">
      <c r="A43" s="61"/>
      <c r="B43" s="30" t="s">
        <v>210</v>
      </c>
      <c r="C43" s="30" t="s">
        <v>207</v>
      </c>
      <c r="D43" s="31">
        <v>276</v>
      </c>
      <c r="E43" s="31">
        <v>86</v>
      </c>
      <c r="F43" s="31">
        <v>4</v>
      </c>
      <c r="G43" s="31">
        <v>18</v>
      </c>
      <c r="H43" s="77">
        <f t="shared" si="8"/>
        <v>362</v>
      </c>
      <c r="I43" s="239"/>
      <c r="J43" s="223"/>
    </row>
    <row r="44" spans="1:10" ht="15" customHeight="1" x14ac:dyDescent="0.3">
      <c r="A44" s="61"/>
      <c r="B44" s="26" t="s">
        <v>172</v>
      </c>
      <c r="C44" s="26" t="s">
        <v>231</v>
      </c>
      <c r="D44" s="27">
        <v>267</v>
      </c>
      <c r="E44" s="27">
        <v>104</v>
      </c>
      <c r="F44" s="27">
        <v>5</v>
      </c>
      <c r="G44" s="27">
        <v>12</v>
      </c>
      <c r="H44" s="36">
        <f t="shared" ref="H44" si="11">+D44+E44</f>
        <v>371</v>
      </c>
      <c r="J44" s="82"/>
    </row>
    <row r="45" spans="1:10" x14ac:dyDescent="0.3">
      <c r="C45" s="44" t="s">
        <v>98</v>
      </c>
      <c r="D45" s="37">
        <f>AVERAGE(D4:D44)</f>
        <v>282.8780487804878</v>
      </c>
      <c r="E45" s="37">
        <f t="shared" ref="E45:H45" si="12">AVERAGE(E4:E44)</f>
        <v>122.46341463414635</v>
      </c>
      <c r="F45" s="38">
        <f t="shared" si="12"/>
        <v>5.2926829268292686</v>
      </c>
      <c r="G45" s="38">
        <f t="shared" si="12"/>
        <v>10.75609756097561</v>
      </c>
      <c r="H45" s="37">
        <f t="shared" si="12"/>
        <v>405.34146341463412</v>
      </c>
    </row>
    <row r="50" spans="11:11" ht="18.75" customHeight="1" x14ac:dyDescent="0.3"/>
    <row r="51" spans="11:11" ht="18.75" customHeight="1" x14ac:dyDescent="0.5">
      <c r="K51" s="137"/>
    </row>
    <row r="52" spans="11:11" ht="15" customHeight="1" x14ac:dyDescent="0.5">
      <c r="K52" s="137"/>
    </row>
    <row r="53" spans="11:11" ht="15" customHeight="1" x14ac:dyDescent="0.5">
      <c r="K53" s="137"/>
    </row>
    <row r="54" spans="11:11" ht="15" customHeight="1" x14ac:dyDescent="0.3"/>
    <row r="55" spans="11:11" ht="15" customHeight="1" x14ac:dyDescent="0.3"/>
  </sheetData>
  <mergeCells count="30">
    <mergeCell ref="I14:I15"/>
    <mergeCell ref="I8:I9"/>
    <mergeCell ref="J8:J11"/>
    <mergeCell ref="I10:I11"/>
    <mergeCell ref="I4:I5"/>
    <mergeCell ref="I6:I7"/>
    <mergeCell ref="J4:J7"/>
    <mergeCell ref="I12:I13"/>
    <mergeCell ref="J12:J15"/>
    <mergeCell ref="I22:I23"/>
    <mergeCell ref="J28:J31"/>
    <mergeCell ref="I30:I31"/>
    <mergeCell ref="I16:I17"/>
    <mergeCell ref="J16:J19"/>
    <mergeCell ref="I18:I19"/>
    <mergeCell ref="I20:I21"/>
    <mergeCell ref="J20:J23"/>
    <mergeCell ref="I24:I25"/>
    <mergeCell ref="I26:I27"/>
    <mergeCell ref="J24:J27"/>
    <mergeCell ref="I40:I41"/>
    <mergeCell ref="I42:I43"/>
    <mergeCell ref="J40:J43"/>
    <mergeCell ref="I28:I29"/>
    <mergeCell ref="I38:I39"/>
    <mergeCell ref="J36:J39"/>
    <mergeCell ref="I36:I37"/>
    <mergeCell ref="J32:J35"/>
    <mergeCell ref="I32:I33"/>
    <mergeCell ref="I34:I3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7"/>
  <sheetViews>
    <sheetView zoomScaleNormal="100" workbookViewId="0">
      <selection activeCell="J20" sqref="J20"/>
    </sheetView>
  </sheetViews>
  <sheetFormatPr defaultRowHeight="15" x14ac:dyDescent="0.25"/>
  <cols>
    <col min="1" max="1" width="3.140625" style="15" customWidth="1"/>
    <col min="2" max="2" width="21" customWidth="1"/>
    <col min="3" max="3" width="14.85546875" customWidth="1"/>
    <col min="4" max="4" width="5.5703125" customWidth="1"/>
    <col min="5" max="5" width="6.42578125" style="8" customWidth="1"/>
    <col min="6" max="6" width="4.140625" style="8" customWidth="1"/>
    <col min="7" max="7" width="5" style="8" customWidth="1"/>
    <col min="8" max="8" width="5.7109375" style="2" customWidth="1"/>
    <col min="9" max="9" width="5.85546875" customWidth="1"/>
    <col min="10" max="10" width="8.140625" customWidth="1"/>
  </cols>
  <sheetData>
    <row r="1" spans="1:10" x14ac:dyDescent="0.25">
      <c r="A1" s="16"/>
      <c r="B1" s="3" t="s">
        <v>229</v>
      </c>
      <c r="E1" s="7" t="s">
        <v>14</v>
      </c>
      <c r="F1" s="7"/>
      <c r="G1" s="7"/>
      <c r="H1" s="7" t="s">
        <v>15</v>
      </c>
    </row>
    <row r="2" spans="1:10" ht="6.75" customHeight="1" x14ac:dyDescent="0.25">
      <c r="A2" s="16"/>
    </row>
    <row r="3" spans="1:10" x14ac:dyDescent="0.25">
      <c r="A3" s="55"/>
      <c r="B3" s="53" t="s">
        <v>1</v>
      </c>
      <c r="C3" s="53" t="s">
        <v>2</v>
      </c>
      <c r="D3" s="53" t="s">
        <v>4</v>
      </c>
      <c r="E3" s="53" t="s">
        <v>5</v>
      </c>
      <c r="F3" s="53">
        <v>9</v>
      </c>
      <c r="G3" s="53" t="s">
        <v>6</v>
      </c>
      <c r="H3" s="29"/>
      <c r="I3" s="30"/>
      <c r="J3" s="30"/>
    </row>
    <row r="4" spans="1:10" x14ac:dyDescent="0.25">
      <c r="A4" s="56" t="s">
        <v>0</v>
      </c>
      <c r="B4" s="26" t="s">
        <v>26</v>
      </c>
      <c r="C4" s="26" t="s">
        <v>19</v>
      </c>
      <c r="D4" s="25">
        <v>334</v>
      </c>
      <c r="E4" s="27">
        <v>133</v>
      </c>
      <c r="F4" s="27">
        <v>10</v>
      </c>
      <c r="G4" s="27">
        <v>9</v>
      </c>
      <c r="H4" s="25">
        <f>+D4+E4</f>
        <v>467</v>
      </c>
      <c r="I4" s="218">
        <f>+H4+H5</f>
        <v>875</v>
      </c>
      <c r="J4" s="222">
        <f>+I4+I6</f>
        <v>1627</v>
      </c>
    </row>
    <row r="5" spans="1:10" x14ac:dyDescent="0.25">
      <c r="A5" s="56"/>
      <c r="B5" s="26" t="s">
        <v>27</v>
      </c>
      <c r="C5" s="26" t="s">
        <v>19</v>
      </c>
      <c r="D5" s="27">
        <v>290</v>
      </c>
      <c r="E5" s="27">
        <v>118</v>
      </c>
      <c r="F5" s="28">
        <v>2</v>
      </c>
      <c r="G5" s="27">
        <v>11</v>
      </c>
      <c r="H5" s="25">
        <f>+D5+E5</f>
        <v>408</v>
      </c>
      <c r="I5" s="218"/>
      <c r="J5" s="222"/>
    </row>
    <row r="6" spans="1:10" x14ac:dyDescent="0.25">
      <c r="A6" s="56"/>
      <c r="B6" s="26" t="s">
        <v>28</v>
      </c>
      <c r="C6" s="26" t="s">
        <v>19</v>
      </c>
      <c r="D6" s="27">
        <v>226</v>
      </c>
      <c r="E6" s="27">
        <v>106</v>
      </c>
      <c r="F6" s="28">
        <v>1</v>
      </c>
      <c r="G6" s="27">
        <v>11</v>
      </c>
      <c r="H6" s="25">
        <f t="shared" ref="H6:H7" si="0">+D6+E6</f>
        <v>332</v>
      </c>
      <c r="I6" s="218">
        <f>+H6+H7</f>
        <v>752</v>
      </c>
      <c r="J6" s="222"/>
    </row>
    <row r="7" spans="1:10" x14ac:dyDescent="0.25">
      <c r="A7" s="55"/>
      <c r="B7" s="30" t="s">
        <v>201</v>
      </c>
      <c r="C7" s="30" t="s">
        <v>19</v>
      </c>
      <c r="D7" s="31">
        <v>289</v>
      </c>
      <c r="E7" s="31">
        <v>131</v>
      </c>
      <c r="F7" s="31">
        <v>3</v>
      </c>
      <c r="G7" s="31">
        <v>8</v>
      </c>
      <c r="H7" s="29">
        <f t="shared" si="0"/>
        <v>420</v>
      </c>
      <c r="I7" s="219"/>
      <c r="J7" s="223"/>
    </row>
    <row r="8" spans="1:10" ht="15" customHeight="1" x14ac:dyDescent="0.25">
      <c r="A8" s="57" t="s">
        <v>9</v>
      </c>
      <c r="B8" s="33" t="s">
        <v>243</v>
      </c>
      <c r="C8" s="33" t="s">
        <v>18</v>
      </c>
      <c r="D8" s="83">
        <v>265</v>
      </c>
      <c r="E8" s="83">
        <v>98</v>
      </c>
      <c r="F8" s="35">
        <v>1</v>
      </c>
      <c r="G8" s="35">
        <v>16</v>
      </c>
      <c r="H8" s="25">
        <f t="shared" ref="H8:H15" si="1">+D8+E8</f>
        <v>363</v>
      </c>
      <c r="I8" s="224">
        <f t="shared" ref="I8" si="2">+H8+H9</f>
        <v>703</v>
      </c>
      <c r="J8" s="221">
        <f>+I8+I10</f>
        <v>1569</v>
      </c>
    </row>
    <row r="9" spans="1:10" ht="15" customHeight="1" x14ac:dyDescent="0.25">
      <c r="A9" s="56"/>
      <c r="B9" s="26" t="s">
        <v>96</v>
      </c>
      <c r="C9" s="26" t="s">
        <v>18</v>
      </c>
      <c r="D9" s="93">
        <v>251</v>
      </c>
      <c r="E9" s="27">
        <v>89</v>
      </c>
      <c r="F9" s="27">
        <v>1</v>
      </c>
      <c r="G9" s="27">
        <v>17</v>
      </c>
      <c r="H9" s="25">
        <f t="shared" si="1"/>
        <v>340</v>
      </c>
      <c r="I9" s="218"/>
      <c r="J9" s="222"/>
    </row>
    <row r="10" spans="1:10" ht="15" customHeight="1" x14ac:dyDescent="0.25">
      <c r="A10" s="56"/>
      <c r="B10" s="26" t="s">
        <v>57</v>
      </c>
      <c r="C10" s="26" t="s">
        <v>18</v>
      </c>
      <c r="D10" s="27">
        <v>269</v>
      </c>
      <c r="E10" s="27">
        <v>129</v>
      </c>
      <c r="F10" s="27">
        <v>6</v>
      </c>
      <c r="G10" s="27">
        <v>7</v>
      </c>
      <c r="H10" s="25">
        <f t="shared" si="1"/>
        <v>398</v>
      </c>
      <c r="I10" s="218">
        <f t="shared" ref="I10" si="3">+H10+H11</f>
        <v>866</v>
      </c>
      <c r="J10" s="222"/>
    </row>
    <row r="11" spans="1:10" ht="15" customHeight="1" x14ac:dyDescent="0.25">
      <c r="A11" s="55"/>
      <c r="B11" s="30" t="s">
        <v>97</v>
      </c>
      <c r="C11" s="30" t="s">
        <v>18</v>
      </c>
      <c r="D11" s="31">
        <v>312</v>
      </c>
      <c r="E11" s="29">
        <v>156</v>
      </c>
      <c r="F11" s="31">
        <v>10</v>
      </c>
      <c r="G11" s="31">
        <v>6</v>
      </c>
      <c r="H11" s="29">
        <f t="shared" si="1"/>
        <v>468</v>
      </c>
      <c r="I11" s="219"/>
      <c r="J11" s="223"/>
    </row>
    <row r="12" spans="1:10" ht="15" customHeight="1" x14ac:dyDescent="0.25">
      <c r="A12" s="16" t="s">
        <v>10</v>
      </c>
      <c r="B12" s="33" t="s">
        <v>193</v>
      </c>
      <c r="C12" s="33" t="s">
        <v>192</v>
      </c>
      <c r="D12" s="35">
        <v>253</v>
      </c>
      <c r="E12" s="35">
        <v>97</v>
      </c>
      <c r="F12" s="35">
        <v>2</v>
      </c>
      <c r="G12" s="35">
        <v>15</v>
      </c>
      <c r="H12" s="32">
        <f t="shared" si="1"/>
        <v>350</v>
      </c>
      <c r="I12" s="224">
        <f>+H12+H13</f>
        <v>722</v>
      </c>
      <c r="J12" s="221">
        <f>+I12+I14</f>
        <v>1498</v>
      </c>
    </row>
    <row r="13" spans="1:10" x14ac:dyDescent="0.25">
      <c r="A13" s="61"/>
      <c r="B13" s="26" t="s">
        <v>194</v>
      </c>
      <c r="C13" s="26" t="s">
        <v>192</v>
      </c>
      <c r="D13" s="27">
        <v>284</v>
      </c>
      <c r="E13" s="27">
        <v>88</v>
      </c>
      <c r="F13" s="27">
        <v>1</v>
      </c>
      <c r="G13" s="27">
        <v>17</v>
      </c>
      <c r="H13" s="25">
        <f t="shared" si="1"/>
        <v>372</v>
      </c>
      <c r="I13" s="218"/>
      <c r="J13" s="222"/>
    </row>
    <row r="14" spans="1:10" x14ac:dyDescent="0.25">
      <c r="B14" s="48" t="s">
        <v>195</v>
      </c>
      <c r="C14" s="26" t="s">
        <v>192</v>
      </c>
      <c r="D14" s="28">
        <v>261</v>
      </c>
      <c r="E14" s="27">
        <v>107</v>
      </c>
      <c r="F14" s="27">
        <v>4</v>
      </c>
      <c r="G14" s="27">
        <v>16</v>
      </c>
      <c r="H14" s="25">
        <f t="shared" si="1"/>
        <v>368</v>
      </c>
      <c r="I14" s="218">
        <f>+H14+H15</f>
        <v>776</v>
      </c>
      <c r="J14" s="222"/>
    </row>
    <row r="15" spans="1:10" x14ac:dyDescent="0.25">
      <c r="B15" s="30" t="s">
        <v>196</v>
      </c>
      <c r="C15" s="30" t="s">
        <v>192</v>
      </c>
      <c r="D15" s="31">
        <v>293</v>
      </c>
      <c r="E15" s="31">
        <v>115</v>
      </c>
      <c r="F15" s="31">
        <v>3</v>
      </c>
      <c r="G15" s="74">
        <v>10</v>
      </c>
      <c r="H15" s="29">
        <f t="shared" si="1"/>
        <v>408</v>
      </c>
      <c r="I15" s="219"/>
      <c r="J15" s="223"/>
    </row>
    <row r="16" spans="1:10" x14ac:dyDescent="0.25">
      <c r="C16" s="46" t="s">
        <v>98</v>
      </c>
      <c r="D16" s="37">
        <f>AVERAGE(D4:D15)</f>
        <v>277.25</v>
      </c>
      <c r="E16" s="37">
        <f t="shared" ref="E16:H16" si="4">AVERAGE(E4:E15)</f>
        <v>113.91666666666667</v>
      </c>
      <c r="F16" s="38">
        <f>AVERAGE(F4:F15)</f>
        <v>3.6666666666666665</v>
      </c>
      <c r="G16" s="38">
        <f t="shared" si="4"/>
        <v>11.916666666666666</v>
      </c>
      <c r="H16" s="37">
        <f t="shared" si="4"/>
        <v>391.16666666666669</v>
      </c>
    </row>
    <row r="17" spans="10:10" x14ac:dyDescent="0.25">
      <c r="J17" s="136"/>
    </row>
  </sheetData>
  <mergeCells count="9">
    <mergeCell ref="I12:I13"/>
    <mergeCell ref="J12:J15"/>
    <mergeCell ref="I14:I15"/>
    <mergeCell ref="I4:I5"/>
    <mergeCell ref="J4:J7"/>
    <mergeCell ref="I6:I7"/>
    <mergeCell ref="I8:I9"/>
    <mergeCell ref="J8:J11"/>
    <mergeCell ref="I10:I11"/>
  </mergeCells>
  <pageMargins left="0.7" right="0.7" top="0.75" bottom="0.75" header="0.3" footer="0.3"/>
  <pageSetup paperSize="9" orientation="portrait" verticalDpi="4294967293" r:id="rId1"/>
  <ignoredErrors>
    <ignoredError sqref="F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0"/>
  <sheetViews>
    <sheetView zoomScaleNormal="100" workbookViewId="0">
      <selection activeCell="C9" sqref="C9:C10"/>
    </sheetView>
  </sheetViews>
  <sheetFormatPr defaultRowHeight="15" x14ac:dyDescent="0.25"/>
  <cols>
    <col min="1" max="1" width="3.140625" customWidth="1"/>
    <col min="2" max="2" width="19.7109375" customWidth="1"/>
    <col min="3" max="3" width="15.42578125" customWidth="1"/>
    <col min="4" max="4" width="4.42578125" customWidth="1"/>
    <col min="5" max="5" width="6.42578125" style="8" customWidth="1"/>
    <col min="6" max="6" width="4.5703125" style="8" customWidth="1"/>
    <col min="7" max="7" width="3.7109375" style="8" customWidth="1"/>
    <col min="8" max="8" width="5.7109375" style="2" customWidth="1"/>
    <col min="9" max="9" width="5.85546875" customWidth="1"/>
    <col min="10" max="10" width="8.140625" customWidth="1"/>
  </cols>
  <sheetData>
    <row r="1" spans="1:11" ht="18.75" x14ac:dyDescent="0.3">
      <c r="A1" s="2"/>
      <c r="B1" s="10" t="s">
        <v>249</v>
      </c>
      <c r="E1" s="7" t="s">
        <v>14</v>
      </c>
      <c r="F1" s="7"/>
      <c r="G1" s="7"/>
      <c r="H1" s="7" t="s">
        <v>15</v>
      </c>
    </row>
    <row r="2" spans="1:11" ht="6.75" customHeight="1" x14ac:dyDescent="0.25">
      <c r="A2" s="2"/>
    </row>
    <row r="3" spans="1:11" x14ac:dyDescent="0.25">
      <c r="A3" s="2"/>
      <c r="B3" s="1" t="s">
        <v>1</v>
      </c>
      <c r="C3" s="1" t="s">
        <v>2</v>
      </c>
      <c r="D3" s="1" t="s">
        <v>4</v>
      </c>
      <c r="E3" s="1" t="s">
        <v>5</v>
      </c>
      <c r="F3" s="1" t="s">
        <v>6</v>
      </c>
      <c r="G3" s="1">
        <v>9</v>
      </c>
    </row>
    <row r="4" spans="1:11" x14ac:dyDescent="0.25">
      <c r="A4" s="25" t="s">
        <v>0</v>
      </c>
      <c r="B4" s="117" t="s">
        <v>197</v>
      </c>
      <c r="C4" s="33" t="s">
        <v>198</v>
      </c>
      <c r="D4" s="33">
        <f>81+89+96+75</f>
        <v>341</v>
      </c>
      <c r="E4" s="35">
        <f>35+45+44+54</f>
        <v>178</v>
      </c>
      <c r="F4" s="35">
        <v>11</v>
      </c>
      <c r="G4" s="35">
        <v>8</v>
      </c>
      <c r="H4" s="32">
        <f t="shared" ref="H4:H9" si="0">+D4+E4</f>
        <v>519</v>
      </c>
      <c r="I4" s="224">
        <f t="shared" ref="I4" si="1">+H4+H5</f>
        <v>1057</v>
      </c>
      <c r="J4" s="221">
        <f>+I4+I6</f>
        <v>2133</v>
      </c>
    </row>
    <row r="5" spans="1:11" x14ac:dyDescent="0.25">
      <c r="A5" s="25"/>
      <c r="B5" s="48" t="s">
        <v>261</v>
      </c>
      <c r="C5" s="26" t="s">
        <v>198</v>
      </c>
      <c r="D5" s="26">
        <f>77+101+93+84</f>
        <v>355</v>
      </c>
      <c r="E5" s="27">
        <f>36+44+52+51</f>
        <v>183</v>
      </c>
      <c r="F5" s="27">
        <v>5</v>
      </c>
      <c r="G5" s="27">
        <v>7</v>
      </c>
      <c r="H5" s="25">
        <f t="shared" si="0"/>
        <v>538</v>
      </c>
      <c r="I5" s="218"/>
      <c r="J5" s="222"/>
    </row>
    <row r="6" spans="1:11" x14ac:dyDescent="0.25">
      <c r="A6" s="25"/>
      <c r="B6" s="48" t="s">
        <v>262</v>
      </c>
      <c r="C6" s="26" t="s">
        <v>198</v>
      </c>
      <c r="D6" s="26">
        <f>89+86+86+84</f>
        <v>345</v>
      </c>
      <c r="E6" s="27">
        <f>36+34+53+60</f>
        <v>183</v>
      </c>
      <c r="F6" s="27">
        <v>6</v>
      </c>
      <c r="G6" s="27">
        <v>11</v>
      </c>
      <c r="H6" s="25">
        <f t="shared" si="0"/>
        <v>528</v>
      </c>
      <c r="I6" s="218">
        <f t="shared" ref="I6" si="2">+H6+H7</f>
        <v>1076</v>
      </c>
      <c r="J6" s="222"/>
    </row>
    <row r="7" spans="1:11" x14ac:dyDescent="0.25">
      <c r="A7" s="29"/>
      <c r="B7" s="30" t="s">
        <v>263</v>
      </c>
      <c r="C7" s="30" t="s">
        <v>198</v>
      </c>
      <c r="D7" s="30">
        <f>95+80+97+85</f>
        <v>357</v>
      </c>
      <c r="E7" s="31">
        <f>45+51+44+51</f>
        <v>191</v>
      </c>
      <c r="F7" s="31">
        <v>2</v>
      </c>
      <c r="G7" s="31">
        <v>10</v>
      </c>
      <c r="H7" s="29">
        <f t="shared" si="0"/>
        <v>548</v>
      </c>
      <c r="I7" s="219"/>
      <c r="J7" s="223"/>
    </row>
    <row r="8" spans="1:11" ht="15" customHeight="1" x14ac:dyDescent="0.25">
      <c r="A8" s="32" t="s">
        <v>9</v>
      </c>
      <c r="B8" s="26" t="s">
        <v>26</v>
      </c>
      <c r="C8" s="26" t="s">
        <v>245</v>
      </c>
      <c r="D8" s="73">
        <f>103+86+97+96</f>
        <v>382</v>
      </c>
      <c r="E8" s="27">
        <f>43+53+41+53</f>
        <v>190</v>
      </c>
      <c r="F8" s="27">
        <v>5</v>
      </c>
      <c r="G8" s="27">
        <v>9</v>
      </c>
      <c r="H8" s="110">
        <f t="shared" si="0"/>
        <v>572</v>
      </c>
      <c r="I8" s="218">
        <f>+H8+H9</f>
        <v>1080</v>
      </c>
      <c r="J8" s="222">
        <f>+I8+I10</f>
        <v>2121</v>
      </c>
    </row>
    <row r="9" spans="1:11" ht="15" customHeight="1" x14ac:dyDescent="0.25">
      <c r="A9" s="25"/>
      <c r="B9" s="26" t="s">
        <v>27</v>
      </c>
      <c r="C9" s="26" t="s">
        <v>245</v>
      </c>
      <c r="D9" s="26">
        <f>87+77+87+91</f>
        <v>342</v>
      </c>
      <c r="E9" s="28">
        <f>25+35+61+45</f>
        <v>166</v>
      </c>
      <c r="F9" s="27">
        <v>12</v>
      </c>
      <c r="G9" s="27">
        <v>9</v>
      </c>
      <c r="H9" s="25">
        <f t="shared" si="0"/>
        <v>508</v>
      </c>
      <c r="I9" s="218"/>
      <c r="J9" s="222"/>
    </row>
    <row r="10" spans="1:11" ht="15" customHeight="1" x14ac:dyDescent="0.25">
      <c r="A10" s="25"/>
      <c r="B10" s="26" t="s">
        <v>244</v>
      </c>
      <c r="C10" s="26" t="s">
        <v>245</v>
      </c>
      <c r="D10" s="26">
        <f>93+89+96+90</f>
        <v>368</v>
      </c>
      <c r="E10" s="27">
        <f>35+51+33+35</f>
        <v>154</v>
      </c>
      <c r="F10" s="28">
        <v>7</v>
      </c>
      <c r="G10" s="27">
        <v>9</v>
      </c>
      <c r="H10" s="25">
        <f t="shared" ref="H10:H11" si="3">+D10+E10</f>
        <v>522</v>
      </c>
      <c r="I10" s="218">
        <f>+H10+H11</f>
        <v>1041</v>
      </c>
      <c r="J10" s="222"/>
    </row>
    <row r="11" spans="1:11" ht="15" customHeight="1" x14ac:dyDescent="0.25">
      <c r="A11" s="29"/>
      <c r="B11" s="30" t="s">
        <v>201</v>
      </c>
      <c r="C11" s="30" t="s">
        <v>245</v>
      </c>
      <c r="D11" s="30">
        <f>86+90+88+101</f>
        <v>365</v>
      </c>
      <c r="E11" s="31">
        <f>52+35+33+34</f>
        <v>154</v>
      </c>
      <c r="F11" s="31">
        <v>10</v>
      </c>
      <c r="G11" s="31">
        <v>8</v>
      </c>
      <c r="H11" s="29">
        <f t="shared" si="3"/>
        <v>519</v>
      </c>
      <c r="I11" s="219"/>
      <c r="J11" s="223"/>
    </row>
    <row r="12" spans="1:11" ht="15" customHeight="1" x14ac:dyDescent="0.25">
      <c r="A12" s="25" t="s">
        <v>10</v>
      </c>
      <c r="B12" s="48" t="s">
        <v>273</v>
      </c>
      <c r="C12" s="48" t="s">
        <v>268</v>
      </c>
      <c r="D12">
        <f>86+91+86+85</f>
        <v>348</v>
      </c>
      <c r="E12" s="8">
        <f>49+41+33+45</f>
        <v>168</v>
      </c>
      <c r="F12" s="8">
        <v>5</v>
      </c>
      <c r="G12" s="8">
        <v>9</v>
      </c>
      <c r="H12" s="32">
        <f>+D12+E12</f>
        <v>516</v>
      </c>
      <c r="I12" s="224">
        <f>+H12+H13</f>
        <v>1004</v>
      </c>
      <c r="J12" s="221">
        <f>+I12+I14</f>
        <v>1934</v>
      </c>
      <c r="K12" s="26"/>
    </row>
    <row r="13" spans="1:11" ht="15" customHeight="1" x14ac:dyDescent="0.25">
      <c r="A13" s="25"/>
      <c r="B13" s="48" t="s">
        <v>274</v>
      </c>
      <c r="C13" s="48" t="s">
        <v>268</v>
      </c>
      <c r="D13">
        <f>80+85+89+85</f>
        <v>339</v>
      </c>
      <c r="E13" s="8">
        <f>35+45+44+25</f>
        <v>149</v>
      </c>
      <c r="F13" s="8">
        <v>7</v>
      </c>
      <c r="G13" s="8">
        <v>3</v>
      </c>
      <c r="H13" s="25">
        <f>+D13+E13</f>
        <v>488</v>
      </c>
      <c r="I13" s="218"/>
      <c r="J13" s="222"/>
      <c r="K13" s="26"/>
    </row>
    <row r="14" spans="1:11" ht="15" customHeight="1" x14ac:dyDescent="0.25">
      <c r="A14" s="25"/>
      <c r="B14" s="48" t="s">
        <v>275</v>
      </c>
      <c r="C14" s="48" t="s">
        <v>268</v>
      </c>
      <c r="D14">
        <f>92+86+87+82</f>
        <v>347</v>
      </c>
      <c r="E14" s="8">
        <f>36+17+32+35</f>
        <v>120</v>
      </c>
      <c r="F14" s="8">
        <v>17</v>
      </c>
      <c r="G14" s="8">
        <v>5</v>
      </c>
      <c r="H14" s="25">
        <f t="shared" ref="H14:H15" si="4">+D14+E14</f>
        <v>467</v>
      </c>
      <c r="I14" s="218">
        <f>+H14+H15</f>
        <v>930</v>
      </c>
      <c r="J14" s="222"/>
      <c r="K14" s="26"/>
    </row>
    <row r="15" spans="1:11" ht="15" customHeight="1" x14ac:dyDescent="0.25">
      <c r="A15" s="29"/>
      <c r="B15" s="51" t="s">
        <v>276</v>
      </c>
      <c r="C15" s="51" t="s">
        <v>268</v>
      </c>
      <c r="D15" s="30">
        <f>86+89+79+80</f>
        <v>334</v>
      </c>
      <c r="E15" s="31">
        <f>36+35+23+35</f>
        <v>129</v>
      </c>
      <c r="F15" s="31">
        <v>13</v>
      </c>
      <c r="G15" s="31">
        <v>3</v>
      </c>
      <c r="H15" s="29">
        <f t="shared" si="4"/>
        <v>463</v>
      </c>
      <c r="I15" s="219"/>
      <c r="J15" s="223"/>
      <c r="K15" s="26"/>
    </row>
    <row r="16" spans="1:11" ht="15" customHeight="1" x14ac:dyDescent="0.25">
      <c r="A16" s="32" t="s">
        <v>11</v>
      </c>
      <c r="B16" s="33" t="s">
        <v>193</v>
      </c>
      <c r="C16" s="33" t="s">
        <v>192</v>
      </c>
      <c r="D16" s="33">
        <f>69+80+69+91</f>
        <v>309</v>
      </c>
      <c r="E16" s="35">
        <f>26+27+23+36</f>
        <v>112</v>
      </c>
      <c r="F16" s="35">
        <v>21</v>
      </c>
      <c r="G16" s="83">
        <v>2</v>
      </c>
      <c r="H16" s="32">
        <f>+D16+E16</f>
        <v>421</v>
      </c>
      <c r="I16" s="224">
        <f>+H16+H17</f>
        <v>877</v>
      </c>
      <c r="J16" s="221">
        <f>+I16+I18</f>
        <v>1869</v>
      </c>
    </row>
    <row r="17" spans="1:10" ht="15" customHeight="1" x14ac:dyDescent="0.25">
      <c r="A17" s="25"/>
      <c r="B17" s="48" t="s">
        <v>291</v>
      </c>
      <c r="C17" s="26" t="s">
        <v>192</v>
      </c>
      <c r="D17" s="26">
        <f>85+78+73+86</f>
        <v>322</v>
      </c>
      <c r="E17" s="27">
        <f>36+27+45+26</f>
        <v>134</v>
      </c>
      <c r="F17" s="27">
        <v>14</v>
      </c>
      <c r="G17" s="27">
        <v>2</v>
      </c>
      <c r="H17" s="25">
        <f>+D17+E17</f>
        <v>456</v>
      </c>
      <c r="I17" s="218"/>
      <c r="J17" s="222"/>
    </row>
    <row r="18" spans="1:10" x14ac:dyDescent="0.25">
      <c r="A18" s="25"/>
      <c r="B18" s="26" t="s">
        <v>194</v>
      </c>
      <c r="C18" s="26" t="s">
        <v>192</v>
      </c>
      <c r="D18" s="26">
        <v>326</v>
      </c>
      <c r="E18" s="27">
        <v>158</v>
      </c>
      <c r="F18" s="27">
        <v>9</v>
      </c>
      <c r="G18" s="27">
        <v>0</v>
      </c>
      <c r="H18" s="25">
        <f t="shared" ref="H18:H19" si="5">+D18+E18</f>
        <v>484</v>
      </c>
      <c r="I18" s="218">
        <f>+H18+H19</f>
        <v>992</v>
      </c>
      <c r="J18" s="222"/>
    </row>
    <row r="19" spans="1:10" x14ac:dyDescent="0.25">
      <c r="A19" s="29"/>
      <c r="B19" s="30" t="s">
        <v>196</v>
      </c>
      <c r="C19" s="30" t="s">
        <v>192</v>
      </c>
      <c r="D19" s="30">
        <f>83+80+86+86</f>
        <v>335</v>
      </c>
      <c r="E19" s="31">
        <f>33+35+54+51</f>
        <v>173</v>
      </c>
      <c r="F19" s="31">
        <v>6</v>
      </c>
      <c r="G19" s="31">
        <v>2</v>
      </c>
      <c r="H19" s="29">
        <f t="shared" si="5"/>
        <v>508</v>
      </c>
      <c r="I19" s="219"/>
      <c r="J19" s="223"/>
    </row>
    <row r="20" spans="1:10" x14ac:dyDescent="0.25">
      <c r="A20" s="2" t="s">
        <v>12</v>
      </c>
      <c r="B20" s="26" t="s">
        <v>57</v>
      </c>
      <c r="C20" s="26" t="s">
        <v>18</v>
      </c>
      <c r="D20" s="26">
        <v>367</v>
      </c>
      <c r="E20" s="27">
        <v>169</v>
      </c>
      <c r="F20" s="27">
        <v>9</v>
      </c>
      <c r="G20" s="27">
        <v>7</v>
      </c>
      <c r="H20" s="25">
        <f>+D20+E20</f>
        <v>536</v>
      </c>
      <c r="I20" s="218">
        <f>+H20+H21</f>
        <v>966</v>
      </c>
      <c r="J20" s="222">
        <f>+I20+I22</f>
        <v>1777</v>
      </c>
    </row>
    <row r="21" spans="1:10" x14ac:dyDescent="0.25">
      <c r="B21" s="26" t="s">
        <v>96</v>
      </c>
      <c r="C21" s="26" t="s">
        <v>18</v>
      </c>
      <c r="D21" s="26">
        <v>320</v>
      </c>
      <c r="E21" s="28">
        <v>110</v>
      </c>
      <c r="F21" s="27">
        <v>18</v>
      </c>
      <c r="G21" s="27">
        <v>3</v>
      </c>
      <c r="H21" s="25">
        <f>+D21+E21</f>
        <v>430</v>
      </c>
      <c r="I21" s="218"/>
      <c r="J21" s="222"/>
    </row>
    <row r="22" spans="1:10" x14ac:dyDescent="0.25">
      <c r="B22" s="48" t="s">
        <v>188</v>
      </c>
      <c r="C22" s="26" t="s">
        <v>18</v>
      </c>
      <c r="D22" s="26">
        <v>341</v>
      </c>
      <c r="E22" s="27">
        <v>87</v>
      </c>
      <c r="F22" s="27">
        <v>27</v>
      </c>
      <c r="G22" s="27">
        <v>1</v>
      </c>
      <c r="H22" s="25">
        <f>+D22+E22</f>
        <v>428</v>
      </c>
      <c r="I22" s="218">
        <f>+H22+H23</f>
        <v>811</v>
      </c>
      <c r="J22" s="222"/>
    </row>
    <row r="23" spans="1:10" ht="15" customHeight="1" x14ac:dyDescent="0.25">
      <c r="A23" s="30"/>
      <c r="B23" s="30" t="s">
        <v>295</v>
      </c>
      <c r="C23" s="30" t="s">
        <v>18</v>
      </c>
      <c r="D23" s="30">
        <v>270</v>
      </c>
      <c r="E23" s="206">
        <v>113</v>
      </c>
      <c r="F23" s="206">
        <v>20</v>
      </c>
      <c r="G23" s="31">
        <v>1</v>
      </c>
      <c r="H23" s="29">
        <f>+D23+E23</f>
        <v>383</v>
      </c>
      <c r="I23" s="219"/>
      <c r="J23" s="223"/>
    </row>
    <row r="24" spans="1:10" ht="15" customHeight="1" x14ac:dyDescent="0.25">
      <c r="A24" s="26"/>
      <c r="B24" t="s">
        <v>29</v>
      </c>
      <c r="C24" s="26" t="s">
        <v>296</v>
      </c>
      <c r="D24" s="26">
        <v>324</v>
      </c>
      <c r="E24" s="99">
        <v>129</v>
      </c>
      <c r="F24" s="99">
        <v>13</v>
      </c>
      <c r="G24" s="27">
        <v>4</v>
      </c>
      <c r="H24" s="25">
        <f>+D24+E24</f>
        <v>453</v>
      </c>
      <c r="I24" s="209"/>
      <c r="J24" s="208"/>
    </row>
    <row r="25" spans="1:10" ht="15" customHeight="1" x14ac:dyDescent="0.25">
      <c r="A25" s="26"/>
      <c r="B25" s="26"/>
      <c r="C25" s="26"/>
      <c r="D25" s="26"/>
      <c r="E25" s="99"/>
      <c r="F25" s="99"/>
      <c r="G25" s="27"/>
      <c r="H25" s="25"/>
      <c r="I25" s="209"/>
      <c r="J25" s="208"/>
    </row>
    <row r="26" spans="1:10" x14ac:dyDescent="0.25">
      <c r="A26" s="2"/>
      <c r="C26" s="46" t="s">
        <v>98</v>
      </c>
      <c r="D26" s="47">
        <f>AVERAGE(D4:D24)</f>
        <v>339.85714285714283</v>
      </c>
      <c r="E26" s="45">
        <f t="shared" ref="E26:H26" si="6">AVERAGE(E4:E24)</f>
        <v>150</v>
      </c>
      <c r="F26" s="38">
        <f t="shared" si="6"/>
        <v>11.285714285714286</v>
      </c>
      <c r="G26" s="45">
        <f t="shared" si="6"/>
        <v>5.3809523809523814</v>
      </c>
      <c r="H26" s="37">
        <f t="shared" si="6"/>
        <v>489.85714285714283</v>
      </c>
      <c r="I26" s="84"/>
      <c r="J26" s="85"/>
    </row>
    <row r="27" spans="1:10" x14ac:dyDescent="0.25">
      <c r="A27" s="2"/>
      <c r="I27" s="84"/>
      <c r="J27" s="85"/>
    </row>
    <row r="28" spans="1:10" x14ac:dyDescent="0.25">
      <c r="A28" s="2"/>
      <c r="H28" s="25"/>
    </row>
    <row r="29" spans="1:10" x14ac:dyDescent="0.25">
      <c r="A29" s="2"/>
      <c r="B29" s="26"/>
    </row>
    <row r="34" spans="9:10" x14ac:dyDescent="0.25">
      <c r="I34" s="22"/>
      <c r="J34" s="203"/>
    </row>
    <row r="39" spans="9:10" x14ac:dyDescent="0.25">
      <c r="I39" s="204"/>
      <c r="J39" s="205"/>
    </row>
    <row r="40" spans="9:10" x14ac:dyDescent="0.25">
      <c r="I40" s="204"/>
      <c r="J40" s="205"/>
    </row>
  </sheetData>
  <mergeCells count="15">
    <mergeCell ref="I4:I5"/>
    <mergeCell ref="I6:I7"/>
    <mergeCell ref="J4:J7"/>
    <mergeCell ref="I8:I9"/>
    <mergeCell ref="J8:J11"/>
    <mergeCell ref="I10:I11"/>
    <mergeCell ref="I20:I21"/>
    <mergeCell ref="J20:J23"/>
    <mergeCell ref="I22:I23"/>
    <mergeCell ref="I16:I17"/>
    <mergeCell ref="I12:I13"/>
    <mergeCell ref="J12:J15"/>
    <mergeCell ref="I14:I15"/>
    <mergeCell ref="I18:I19"/>
    <mergeCell ref="J16:J19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0"/>
  <sheetViews>
    <sheetView zoomScaleNormal="100" workbookViewId="0">
      <selection activeCell="P32" sqref="P32"/>
    </sheetView>
  </sheetViews>
  <sheetFormatPr defaultRowHeight="15" x14ac:dyDescent="0.25"/>
  <cols>
    <col min="1" max="1" width="3.5703125" customWidth="1"/>
    <col min="2" max="2" width="17.7109375" customWidth="1"/>
    <col min="3" max="3" width="15" customWidth="1"/>
    <col min="4" max="4" width="4.5703125" style="7" customWidth="1"/>
    <col min="5" max="5" width="3.42578125" style="108" customWidth="1"/>
    <col min="6" max="6" width="1.140625" style="8" customWidth="1"/>
    <col min="7" max="7" width="3.5703125" customWidth="1"/>
    <col min="8" max="8" width="17.42578125" customWidth="1"/>
    <col min="9" max="9" width="16.140625" customWidth="1"/>
    <col min="10" max="10" width="4.28515625" customWidth="1"/>
    <col min="11" max="11" width="3.42578125" customWidth="1"/>
    <col min="12" max="12" width="0.7109375" customWidth="1"/>
    <col min="13" max="13" width="3.5703125" customWidth="1"/>
    <col min="14" max="14" width="20.42578125" customWidth="1"/>
    <col min="15" max="15" width="17.140625" customWidth="1"/>
    <col min="16" max="16" width="4.28515625" style="4" customWidth="1"/>
    <col min="17" max="17" width="3.42578125" customWidth="1"/>
  </cols>
  <sheetData>
    <row r="1" spans="1:17" ht="18.75" x14ac:dyDescent="0.3">
      <c r="B1" s="10" t="s">
        <v>249</v>
      </c>
    </row>
    <row r="2" spans="1:17" ht="3" customHeight="1" x14ac:dyDescent="0.25"/>
    <row r="3" spans="1:17" x14ac:dyDescent="0.25">
      <c r="B3" s="13" t="s">
        <v>37</v>
      </c>
    </row>
    <row r="4" spans="1:17" ht="1.5" customHeight="1" x14ac:dyDescent="0.25"/>
    <row r="5" spans="1:17" x14ac:dyDescent="0.25">
      <c r="B5" s="16" t="s">
        <v>38</v>
      </c>
      <c r="C5" s="15"/>
      <c r="D5" s="16"/>
      <c r="E5" s="106"/>
      <c r="F5" s="23"/>
      <c r="G5" s="15"/>
      <c r="H5" s="16" t="s">
        <v>53</v>
      </c>
      <c r="I5" s="15"/>
      <c r="J5" s="15"/>
      <c r="K5" s="15"/>
      <c r="L5" s="15"/>
      <c r="M5" s="15"/>
      <c r="N5" s="16" t="s">
        <v>54</v>
      </c>
    </row>
    <row r="6" spans="1:17" ht="3" customHeight="1" x14ac:dyDescent="0.25"/>
    <row r="7" spans="1:17" ht="15.75" x14ac:dyDescent="0.25">
      <c r="A7" s="16" t="s">
        <v>0</v>
      </c>
      <c r="B7" s="26" t="s">
        <v>173</v>
      </c>
      <c r="C7" s="26" t="s">
        <v>175</v>
      </c>
      <c r="D7" s="66">
        <v>640</v>
      </c>
      <c r="G7" s="16" t="s">
        <v>0</v>
      </c>
      <c r="H7" s="26" t="s">
        <v>257</v>
      </c>
      <c r="I7" s="26" t="s">
        <v>260</v>
      </c>
      <c r="J7" s="4">
        <v>573</v>
      </c>
      <c r="M7" s="16" t="s">
        <v>0</v>
      </c>
      <c r="N7" s="49" t="s">
        <v>26</v>
      </c>
      <c r="O7" s="26" t="s">
        <v>245</v>
      </c>
      <c r="P7" s="4">
        <v>572</v>
      </c>
    </row>
    <row r="8" spans="1:17" ht="15.75" x14ac:dyDescent="0.25">
      <c r="A8" s="16" t="s">
        <v>9</v>
      </c>
      <c r="B8" t="s">
        <v>30</v>
      </c>
      <c r="C8" t="s">
        <v>18</v>
      </c>
      <c r="D8" s="66">
        <v>613</v>
      </c>
      <c r="G8" s="16" t="s">
        <v>9</v>
      </c>
      <c r="H8" t="s">
        <v>162</v>
      </c>
      <c r="I8" t="s">
        <v>161</v>
      </c>
      <c r="J8" s="4">
        <v>566</v>
      </c>
      <c r="M8" s="16" t="s">
        <v>9</v>
      </c>
      <c r="N8" s="26" t="s">
        <v>263</v>
      </c>
      <c r="O8" s="26" t="s">
        <v>198</v>
      </c>
      <c r="P8" s="4">
        <v>548</v>
      </c>
    </row>
    <row r="9" spans="1:17" x14ac:dyDescent="0.25">
      <c r="A9" s="16" t="s">
        <v>10</v>
      </c>
      <c r="B9" s="48" t="s">
        <v>272</v>
      </c>
      <c r="C9" s="48" t="s">
        <v>268</v>
      </c>
      <c r="D9" s="7">
        <v>591</v>
      </c>
      <c r="G9" s="16" t="s">
        <v>10</v>
      </c>
      <c r="H9" s="48" t="s">
        <v>223</v>
      </c>
      <c r="I9" s="48" t="s">
        <v>254</v>
      </c>
      <c r="J9" s="4">
        <v>556</v>
      </c>
      <c r="M9" s="16" t="s">
        <v>10</v>
      </c>
      <c r="N9" s="48" t="s">
        <v>261</v>
      </c>
      <c r="O9" s="26" t="s">
        <v>198</v>
      </c>
      <c r="P9" s="4">
        <v>538</v>
      </c>
    </row>
    <row r="10" spans="1:17" x14ac:dyDescent="0.25">
      <c r="A10" s="16" t="s">
        <v>11</v>
      </c>
      <c r="B10" s="26" t="s">
        <v>242</v>
      </c>
      <c r="C10" s="26" t="s">
        <v>175</v>
      </c>
      <c r="D10" s="7">
        <v>584</v>
      </c>
      <c r="G10" s="16" t="s">
        <v>11</v>
      </c>
      <c r="H10" s="48" t="s">
        <v>181</v>
      </c>
      <c r="I10" s="26" t="s">
        <v>265</v>
      </c>
      <c r="J10" s="4">
        <v>552</v>
      </c>
      <c r="M10" s="16" t="s">
        <v>11</v>
      </c>
      <c r="N10" s="26" t="s">
        <v>57</v>
      </c>
      <c r="O10" s="26" t="s">
        <v>18</v>
      </c>
      <c r="P10" s="4">
        <v>536</v>
      </c>
    </row>
    <row r="11" spans="1:17" x14ac:dyDescent="0.25">
      <c r="A11" s="16" t="s">
        <v>12</v>
      </c>
      <c r="B11" s="26" t="s">
        <v>283</v>
      </c>
      <c r="C11" s="26" t="s">
        <v>279</v>
      </c>
      <c r="D11" s="7">
        <v>582</v>
      </c>
      <c r="E11" s="108">
        <v>212</v>
      </c>
      <c r="G11" s="16" t="s">
        <v>12</v>
      </c>
      <c r="H11" s="26" t="s">
        <v>203</v>
      </c>
      <c r="I11" s="26" t="s">
        <v>255</v>
      </c>
      <c r="J11" s="4">
        <v>550</v>
      </c>
      <c r="K11" s="50">
        <v>186</v>
      </c>
      <c r="M11" s="16" t="s">
        <v>12</v>
      </c>
      <c r="N11" s="48" t="s">
        <v>262</v>
      </c>
      <c r="O11" s="26" t="s">
        <v>198</v>
      </c>
      <c r="P11" s="4">
        <v>528</v>
      </c>
    </row>
    <row r="12" spans="1:17" x14ac:dyDescent="0.25">
      <c r="A12" s="16" t="s">
        <v>13</v>
      </c>
      <c r="B12" t="s">
        <v>32</v>
      </c>
      <c r="C12" t="s">
        <v>18</v>
      </c>
      <c r="D12" s="7">
        <v>582</v>
      </c>
      <c r="E12" s="108">
        <v>192</v>
      </c>
      <c r="G12" s="16" t="s">
        <v>13</v>
      </c>
      <c r="H12" t="s">
        <v>153</v>
      </c>
      <c r="I12" t="s">
        <v>161</v>
      </c>
      <c r="J12" s="4">
        <v>550</v>
      </c>
      <c r="K12" s="50">
        <v>177</v>
      </c>
      <c r="M12" s="16" t="s">
        <v>13</v>
      </c>
      <c r="N12" t="s">
        <v>244</v>
      </c>
      <c r="O12" s="26" t="s">
        <v>245</v>
      </c>
      <c r="P12" s="4">
        <v>522</v>
      </c>
      <c r="Q12" s="50"/>
    </row>
    <row r="13" spans="1:17" x14ac:dyDescent="0.25">
      <c r="A13" s="16" t="s">
        <v>39</v>
      </c>
      <c r="B13" s="26" t="s">
        <v>31</v>
      </c>
      <c r="C13" s="59" t="s">
        <v>101</v>
      </c>
      <c r="D13" s="7">
        <v>572</v>
      </c>
      <c r="G13" s="16" t="s">
        <v>39</v>
      </c>
      <c r="H13" t="s">
        <v>160</v>
      </c>
      <c r="I13" t="s">
        <v>161</v>
      </c>
      <c r="J13" s="4">
        <v>541</v>
      </c>
      <c r="K13" s="50"/>
      <c r="M13" s="16" t="s">
        <v>39</v>
      </c>
      <c r="N13" s="48" t="s">
        <v>197</v>
      </c>
      <c r="O13" s="26" t="s">
        <v>198</v>
      </c>
      <c r="P13" s="4">
        <v>519</v>
      </c>
      <c r="Q13" s="50">
        <v>178</v>
      </c>
    </row>
    <row r="14" spans="1:17" x14ac:dyDescent="0.25">
      <c r="A14" s="16" t="s">
        <v>40</v>
      </c>
      <c r="B14" s="48" t="s">
        <v>271</v>
      </c>
      <c r="C14" s="48" t="s">
        <v>268</v>
      </c>
      <c r="D14" s="7">
        <v>571</v>
      </c>
      <c r="G14" s="16" t="s">
        <v>40</v>
      </c>
      <c r="H14" s="48" t="s">
        <v>252</v>
      </c>
      <c r="I14" s="48" t="s">
        <v>254</v>
      </c>
      <c r="J14" s="4">
        <v>537</v>
      </c>
      <c r="M14" s="16" t="s">
        <v>40</v>
      </c>
      <c r="N14" t="s">
        <v>201</v>
      </c>
      <c r="O14" s="26" t="s">
        <v>245</v>
      </c>
      <c r="P14" s="4">
        <v>519</v>
      </c>
      <c r="Q14" s="50">
        <v>154</v>
      </c>
    </row>
    <row r="15" spans="1:17" x14ac:dyDescent="0.25">
      <c r="A15" s="16" t="s">
        <v>41</v>
      </c>
      <c r="B15" s="26" t="s">
        <v>16</v>
      </c>
      <c r="C15" s="26" t="s">
        <v>100</v>
      </c>
      <c r="D15" s="7">
        <v>568</v>
      </c>
      <c r="G15" s="16" t="s">
        <v>41</v>
      </c>
      <c r="H15" s="26" t="s">
        <v>137</v>
      </c>
      <c r="I15" s="26" t="s">
        <v>255</v>
      </c>
      <c r="J15" s="4">
        <v>531</v>
      </c>
      <c r="M15" s="16" t="s">
        <v>41</v>
      </c>
      <c r="N15" s="48" t="s">
        <v>273</v>
      </c>
      <c r="O15" s="48" t="s">
        <v>268</v>
      </c>
      <c r="P15" s="4">
        <v>516</v>
      </c>
    </row>
    <row r="16" spans="1:17" x14ac:dyDescent="0.25">
      <c r="A16" s="16" t="s">
        <v>42</v>
      </c>
      <c r="B16" t="s">
        <v>87</v>
      </c>
      <c r="C16" t="s">
        <v>294</v>
      </c>
      <c r="D16" s="7">
        <v>567</v>
      </c>
      <c r="F16" s="24"/>
      <c r="G16" s="16" t="s">
        <v>42</v>
      </c>
      <c r="H16" s="48" t="s">
        <v>251</v>
      </c>
      <c r="I16" s="48" t="s">
        <v>254</v>
      </c>
      <c r="J16" s="4">
        <v>530</v>
      </c>
      <c r="M16" s="16" t="s">
        <v>42</v>
      </c>
      <c r="N16" s="26" t="s">
        <v>196</v>
      </c>
      <c r="O16" s="26" t="s">
        <v>192</v>
      </c>
      <c r="P16" s="4">
        <v>508</v>
      </c>
      <c r="Q16" s="50">
        <v>173</v>
      </c>
    </row>
    <row r="17" spans="1:17" x14ac:dyDescent="0.25">
      <c r="A17" s="16" t="s">
        <v>43</v>
      </c>
      <c r="B17" t="s">
        <v>88</v>
      </c>
      <c r="C17" t="s">
        <v>294</v>
      </c>
      <c r="D17" s="7">
        <v>563</v>
      </c>
      <c r="F17" s="24"/>
      <c r="G17" s="16" t="s">
        <v>43</v>
      </c>
      <c r="H17" s="80" t="s">
        <v>20</v>
      </c>
      <c r="I17" t="s">
        <v>18</v>
      </c>
      <c r="J17" s="4">
        <v>526</v>
      </c>
      <c r="M17" s="16" t="s">
        <v>43</v>
      </c>
      <c r="N17" s="49" t="s">
        <v>27</v>
      </c>
      <c r="O17" s="26" t="s">
        <v>245</v>
      </c>
      <c r="P17" s="4">
        <v>508</v>
      </c>
      <c r="Q17" s="50">
        <v>166</v>
      </c>
    </row>
    <row r="18" spans="1:17" x14ac:dyDescent="0.25">
      <c r="A18" s="16" t="s">
        <v>44</v>
      </c>
      <c r="B18" s="49" t="s">
        <v>78</v>
      </c>
      <c r="C18" s="49" t="s">
        <v>18</v>
      </c>
      <c r="D18" s="7">
        <v>558</v>
      </c>
      <c r="F18" s="24"/>
      <c r="G18" s="16" t="s">
        <v>44</v>
      </c>
      <c r="H18" t="s">
        <v>65</v>
      </c>
      <c r="I18" t="s">
        <v>63</v>
      </c>
      <c r="J18" s="4">
        <v>514</v>
      </c>
      <c r="K18" s="24"/>
      <c r="M18" s="16" t="s">
        <v>44</v>
      </c>
      <c r="N18" s="48" t="s">
        <v>274</v>
      </c>
      <c r="O18" s="48" t="s">
        <v>268</v>
      </c>
      <c r="P18" s="4">
        <v>488</v>
      </c>
    </row>
    <row r="19" spans="1:17" x14ac:dyDescent="0.25">
      <c r="A19" s="16" t="s">
        <v>45</v>
      </c>
      <c r="B19" s="26" t="s">
        <v>282</v>
      </c>
      <c r="C19" s="26" t="s">
        <v>279</v>
      </c>
      <c r="D19" s="7">
        <v>557</v>
      </c>
      <c r="F19" s="24"/>
      <c r="G19" s="16" t="s">
        <v>45</v>
      </c>
      <c r="H19" t="s">
        <v>130</v>
      </c>
      <c r="I19" s="26" t="s">
        <v>260</v>
      </c>
      <c r="J19" s="4">
        <v>510</v>
      </c>
      <c r="K19" s="50">
        <v>160</v>
      </c>
      <c r="M19" s="16" t="s">
        <v>45</v>
      </c>
      <c r="N19" s="26" t="s">
        <v>194</v>
      </c>
      <c r="O19" s="26" t="s">
        <v>192</v>
      </c>
      <c r="P19" s="4">
        <v>484</v>
      </c>
    </row>
    <row r="20" spans="1:17" x14ac:dyDescent="0.25">
      <c r="A20" s="16" t="s">
        <v>46</v>
      </c>
      <c r="B20" s="26" t="s">
        <v>288</v>
      </c>
      <c r="C20" s="26" t="s">
        <v>284</v>
      </c>
      <c r="D20" s="7">
        <v>556</v>
      </c>
      <c r="F20" s="24"/>
      <c r="G20" s="16" t="s">
        <v>46</v>
      </c>
      <c r="H20" t="s">
        <v>17</v>
      </c>
      <c r="I20" t="s">
        <v>18</v>
      </c>
      <c r="J20" s="4">
        <v>510</v>
      </c>
      <c r="K20" s="50">
        <v>159</v>
      </c>
      <c r="M20" s="16" t="s">
        <v>46</v>
      </c>
      <c r="N20" t="s">
        <v>64</v>
      </c>
      <c r="O20" t="s">
        <v>63</v>
      </c>
      <c r="P20" s="4">
        <v>475</v>
      </c>
    </row>
    <row r="21" spans="1:17" x14ac:dyDescent="0.25">
      <c r="A21" s="16" t="s">
        <v>47</v>
      </c>
      <c r="B21" t="s">
        <v>83</v>
      </c>
      <c r="C21" t="s">
        <v>18</v>
      </c>
      <c r="D21" s="7">
        <v>555</v>
      </c>
      <c r="F21" s="24"/>
      <c r="G21" s="16" t="s">
        <v>47</v>
      </c>
      <c r="H21" t="s">
        <v>25</v>
      </c>
      <c r="I21" t="s">
        <v>264</v>
      </c>
      <c r="J21" s="4">
        <v>509</v>
      </c>
      <c r="K21" s="50"/>
      <c r="M21" s="16" t="s">
        <v>47</v>
      </c>
      <c r="N21" s="48" t="s">
        <v>275</v>
      </c>
      <c r="O21" s="48" t="s">
        <v>268</v>
      </c>
      <c r="P21" s="4">
        <v>467</v>
      </c>
    </row>
    <row r="22" spans="1:17" x14ac:dyDescent="0.25">
      <c r="A22" s="16" t="s">
        <v>48</v>
      </c>
      <c r="B22" s="80" t="s">
        <v>36</v>
      </c>
      <c r="C22" t="s">
        <v>18</v>
      </c>
      <c r="D22" s="7">
        <v>551</v>
      </c>
      <c r="E22" s="108">
        <v>184</v>
      </c>
      <c r="F22" s="24"/>
      <c r="G22" s="16" t="s">
        <v>48</v>
      </c>
      <c r="H22" t="s">
        <v>132</v>
      </c>
      <c r="I22" s="26" t="s">
        <v>255</v>
      </c>
      <c r="J22" s="4">
        <v>505</v>
      </c>
      <c r="K22" s="50"/>
      <c r="M22" s="16" t="s">
        <v>48</v>
      </c>
      <c r="N22" s="48" t="s">
        <v>276</v>
      </c>
      <c r="O22" s="48" t="s">
        <v>268</v>
      </c>
      <c r="P22" s="4">
        <v>463</v>
      </c>
      <c r="Q22" s="50"/>
    </row>
    <row r="23" spans="1:17" x14ac:dyDescent="0.25">
      <c r="A23" s="16" t="s">
        <v>49</v>
      </c>
      <c r="B23" s="80" t="s">
        <v>56</v>
      </c>
      <c r="C23" t="s">
        <v>18</v>
      </c>
      <c r="D23" s="7">
        <v>551</v>
      </c>
      <c r="E23" s="108">
        <v>171</v>
      </c>
      <c r="F23" s="24"/>
      <c r="G23" s="16" t="s">
        <v>49</v>
      </c>
      <c r="H23" t="s">
        <v>248</v>
      </c>
      <c r="I23" t="s">
        <v>63</v>
      </c>
      <c r="J23" s="4">
        <v>504</v>
      </c>
      <c r="K23" s="50"/>
      <c r="M23" s="16" t="s">
        <v>49</v>
      </c>
      <c r="N23" s="48" t="s">
        <v>291</v>
      </c>
      <c r="O23" s="26" t="s">
        <v>192</v>
      </c>
      <c r="P23" s="4">
        <v>456</v>
      </c>
    </row>
    <row r="24" spans="1:17" x14ac:dyDescent="0.25">
      <c r="A24" s="16" t="s">
        <v>50</v>
      </c>
      <c r="B24" s="26" t="s">
        <v>286</v>
      </c>
      <c r="C24" s="26" t="s">
        <v>284</v>
      </c>
      <c r="D24" s="7">
        <v>550</v>
      </c>
      <c r="E24" s="108">
        <v>199</v>
      </c>
      <c r="F24" s="24"/>
      <c r="G24" s="16" t="s">
        <v>50</v>
      </c>
      <c r="H24" t="s">
        <v>246</v>
      </c>
      <c r="I24" t="s">
        <v>18</v>
      </c>
      <c r="J24" s="4">
        <v>500</v>
      </c>
      <c r="M24" s="16" t="s">
        <v>50</v>
      </c>
      <c r="N24" t="s">
        <v>29</v>
      </c>
      <c r="O24" s="26" t="s">
        <v>18</v>
      </c>
      <c r="P24" s="4">
        <v>453</v>
      </c>
    </row>
    <row r="25" spans="1:17" x14ac:dyDescent="0.25">
      <c r="A25" s="16" t="s">
        <v>51</v>
      </c>
      <c r="B25" t="s">
        <v>289</v>
      </c>
      <c r="C25" t="s">
        <v>290</v>
      </c>
      <c r="D25" s="7">
        <v>550</v>
      </c>
      <c r="E25" s="108">
        <v>171</v>
      </c>
      <c r="F25" s="24"/>
      <c r="G25" s="16" t="s">
        <v>51</v>
      </c>
      <c r="H25" t="s">
        <v>23</v>
      </c>
      <c r="I25" t="s">
        <v>18</v>
      </c>
      <c r="J25" s="4">
        <v>495</v>
      </c>
      <c r="M25" s="16" t="s">
        <v>51</v>
      </c>
      <c r="N25" s="48" t="s">
        <v>247</v>
      </c>
      <c r="O25" t="s">
        <v>63</v>
      </c>
      <c r="P25" s="4">
        <v>435</v>
      </c>
    </row>
    <row r="26" spans="1:17" x14ac:dyDescent="0.25">
      <c r="A26" s="16" t="s">
        <v>52</v>
      </c>
      <c r="B26" s="26" t="s">
        <v>285</v>
      </c>
      <c r="C26" s="26" t="s">
        <v>284</v>
      </c>
      <c r="D26" s="7">
        <v>549</v>
      </c>
      <c r="E26" s="108">
        <v>183</v>
      </c>
      <c r="F26" s="24"/>
      <c r="G26" s="16" t="s">
        <v>52</v>
      </c>
      <c r="H26" t="s">
        <v>115</v>
      </c>
      <c r="I26" t="s">
        <v>264</v>
      </c>
      <c r="J26" s="4">
        <v>484</v>
      </c>
      <c r="M26" s="16" t="s">
        <v>52</v>
      </c>
      <c r="N26" s="26" t="s">
        <v>96</v>
      </c>
      <c r="O26" s="26" t="s">
        <v>18</v>
      </c>
      <c r="P26" s="4">
        <v>430</v>
      </c>
    </row>
    <row r="27" spans="1:17" x14ac:dyDescent="0.25">
      <c r="A27" s="16" t="s">
        <v>66</v>
      </c>
      <c r="B27" s="26" t="s">
        <v>280</v>
      </c>
      <c r="C27" s="26" t="s">
        <v>279</v>
      </c>
      <c r="D27" s="7">
        <v>549</v>
      </c>
      <c r="E27" s="108">
        <v>180</v>
      </c>
      <c r="G27" s="16" t="s">
        <v>66</v>
      </c>
      <c r="H27" s="49" t="s">
        <v>163</v>
      </c>
      <c r="I27" s="49" t="s">
        <v>161</v>
      </c>
      <c r="J27" s="4">
        <v>481</v>
      </c>
      <c r="M27" s="16" t="s">
        <v>66</v>
      </c>
      <c r="N27" s="48" t="s">
        <v>188</v>
      </c>
      <c r="O27" s="26" t="s">
        <v>18</v>
      </c>
      <c r="P27" s="4">
        <v>428</v>
      </c>
    </row>
    <row r="28" spans="1:17" x14ac:dyDescent="0.25">
      <c r="A28" s="16" t="s">
        <v>67</v>
      </c>
      <c r="B28" s="48" t="s">
        <v>22</v>
      </c>
      <c r="C28" t="s">
        <v>3</v>
      </c>
      <c r="D28" s="7">
        <v>547</v>
      </c>
      <c r="E28" s="108">
        <v>190</v>
      </c>
      <c r="G28" s="16" t="s">
        <v>67</v>
      </c>
      <c r="H28" s="48" t="s">
        <v>250</v>
      </c>
      <c r="I28" s="48" t="s">
        <v>254</v>
      </c>
      <c r="J28" s="4">
        <v>480</v>
      </c>
      <c r="M28" s="16" t="s">
        <v>67</v>
      </c>
      <c r="N28" s="26" t="s">
        <v>193</v>
      </c>
      <c r="O28" s="26" t="s">
        <v>192</v>
      </c>
      <c r="P28" s="4">
        <v>421</v>
      </c>
    </row>
    <row r="29" spans="1:17" x14ac:dyDescent="0.25">
      <c r="A29" s="16" t="s">
        <v>68</v>
      </c>
      <c r="B29" s="26" t="s">
        <v>174</v>
      </c>
      <c r="C29" s="26" t="s">
        <v>175</v>
      </c>
      <c r="D29" s="7">
        <v>547</v>
      </c>
      <c r="E29" s="108">
        <v>188</v>
      </c>
      <c r="G29" s="16" t="s">
        <v>68</v>
      </c>
      <c r="H29" s="48" t="s">
        <v>277</v>
      </c>
      <c r="I29" s="48" t="s">
        <v>207</v>
      </c>
      <c r="J29" s="4">
        <v>478</v>
      </c>
      <c r="M29" s="16" t="s">
        <v>68</v>
      </c>
      <c r="N29" s="26" t="s">
        <v>295</v>
      </c>
      <c r="O29" s="26" t="s">
        <v>18</v>
      </c>
      <c r="P29" s="4">
        <v>383</v>
      </c>
    </row>
    <row r="30" spans="1:17" x14ac:dyDescent="0.25">
      <c r="A30" s="16" t="s">
        <v>69</v>
      </c>
      <c r="B30" s="26" t="s">
        <v>281</v>
      </c>
      <c r="C30" s="26" t="s">
        <v>279</v>
      </c>
      <c r="D30" s="7">
        <v>546</v>
      </c>
      <c r="G30" s="16" t="s">
        <v>69</v>
      </c>
      <c r="H30" s="48" t="s">
        <v>259</v>
      </c>
      <c r="I30" s="26" t="s">
        <v>260</v>
      </c>
      <c r="J30" s="4">
        <v>463</v>
      </c>
    </row>
    <row r="31" spans="1:17" x14ac:dyDescent="0.25">
      <c r="A31" s="16" t="s">
        <v>70</v>
      </c>
      <c r="B31" t="s">
        <v>84</v>
      </c>
      <c r="C31" t="s">
        <v>18</v>
      </c>
      <c r="D31" s="7">
        <v>545</v>
      </c>
      <c r="G31" s="16" t="s">
        <v>70</v>
      </c>
      <c r="H31" t="s">
        <v>24</v>
      </c>
      <c r="I31" t="s">
        <v>264</v>
      </c>
      <c r="J31" s="4">
        <v>460</v>
      </c>
      <c r="O31" s="111" t="s">
        <v>98</v>
      </c>
      <c r="P31" s="4">
        <f>AVERAGE(P7:P29)</f>
        <v>486.82608695652175</v>
      </c>
    </row>
    <row r="32" spans="1:17" x14ac:dyDescent="0.25">
      <c r="A32" s="16" t="s">
        <v>71</v>
      </c>
      <c r="B32" s="80" t="s">
        <v>79</v>
      </c>
      <c r="C32" t="s">
        <v>18</v>
      </c>
      <c r="D32" s="7">
        <v>542</v>
      </c>
      <c r="E32" s="108">
        <v>185</v>
      </c>
      <c r="G32" s="16" t="s">
        <v>71</v>
      </c>
      <c r="H32" s="26" t="s">
        <v>136</v>
      </c>
      <c r="I32" s="26" t="s">
        <v>255</v>
      </c>
      <c r="J32" s="4">
        <v>459</v>
      </c>
    </row>
    <row r="33" spans="1:11" x14ac:dyDescent="0.25">
      <c r="A33" s="16" t="s">
        <v>72</v>
      </c>
      <c r="B33" s="26" t="s">
        <v>155</v>
      </c>
      <c r="C33" s="26" t="s">
        <v>175</v>
      </c>
      <c r="D33" s="7">
        <v>542</v>
      </c>
      <c r="E33" s="108">
        <v>178</v>
      </c>
      <c r="G33" s="16" t="s">
        <v>72</v>
      </c>
      <c r="H33" s="48" t="s">
        <v>210</v>
      </c>
      <c r="I33" s="48" t="s">
        <v>207</v>
      </c>
      <c r="J33" s="4">
        <v>458</v>
      </c>
    </row>
    <row r="34" spans="1:11" x14ac:dyDescent="0.25">
      <c r="A34" s="16" t="s">
        <v>73</v>
      </c>
      <c r="B34" s="26" t="s">
        <v>232</v>
      </c>
      <c r="C34" s="26" t="s">
        <v>294</v>
      </c>
      <c r="D34" s="7">
        <v>536</v>
      </c>
      <c r="G34" s="16" t="s">
        <v>73</v>
      </c>
      <c r="H34" s="48" t="s">
        <v>278</v>
      </c>
      <c r="I34" s="48" t="s">
        <v>207</v>
      </c>
      <c r="J34" s="4">
        <v>457</v>
      </c>
      <c r="K34" s="50"/>
    </row>
    <row r="35" spans="1:11" x14ac:dyDescent="0.25">
      <c r="A35" s="16" t="s">
        <v>74</v>
      </c>
      <c r="B35" s="48" t="s">
        <v>99</v>
      </c>
      <c r="C35" s="26" t="s">
        <v>127</v>
      </c>
      <c r="D35" s="7">
        <v>531</v>
      </c>
      <c r="E35" s="108">
        <v>183</v>
      </c>
      <c r="G35" s="16" t="s">
        <v>74</v>
      </c>
      <c r="H35" s="48" t="s">
        <v>208</v>
      </c>
      <c r="I35" s="48" t="s">
        <v>207</v>
      </c>
      <c r="J35" s="4">
        <v>451</v>
      </c>
    </row>
    <row r="36" spans="1:11" x14ac:dyDescent="0.25">
      <c r="A36" s="16" t="s">
        <v>75</v>
      </c>
      <c r="B36" s="48" t="s">
        <v>269</v>
      </c>
      <c r="C36" s="48" t="s">
        <v>268</v>
      </c>
      <c r="D36" s="7">
        <v>531</v>
      </c>
      <c r="E36" s="108">
        <v>163</v>
      </c>
      <c r="G36" s="16" t="s">
        <v>75</v>
      </c>
      <c r="H36" s="48" t="s">
        <v>235</v>
      </c>
      <c r="I36" s="26" t="s">
        <v>265</v>
      </c>
      <c r="J36" s="4">
        <v>434</v>
      </c>
    </row>
    <row r="37" spans="1:11" x14ac:dyDescent="0.25">
      <c r="A37" s="16" t="s">
        <v>76</v>
      </c>
      <c r="B37" s="48" t="s">
        <v>124</v>
      </c>
      <c r="C37" s="26" t="s">
        <v>127</v>
      </c>
      <c r="D37" s="7">
        <v>528</v>
      </c>
      <c r="G37" s="16" t="s">
        <v>76</v>
      </c>
      <c r="H37" t="s">
        <v>169</v>
      </c>
      <c r="I37" t="s">
        <v>264</v>
      </c>
      <c r="J37" s="4">
        <v>411</v>
      </c>
    </row>
    <row r="38" spans="1:11" x14ac:dyDescent="0.25">
      <c r="A38" s="16" t="s">
        <v>77</v>
      </c>
      <c r="B38" t="s">
        <v>287</v>
      </c>
      <c r="C38" t="s">
        <v>284</v>
      </c>
      <c r="D38" s="7">
        <v>526</v>
      </c>
      <c r="G38" s="16" t="s">
        <v>77</v>
      </c>
      <c r="H38" s="48" t="s">
        <v>266</v>
      </c>
      <c r="I38" s="26" t="s">
        <v>265</v>
      </c>
      <c r="J38" s="4">
        <v>347</v>
      </c>
    </row>
    <row r="39" spans="1:11" x14ac:dyDescent="0.25">
      <c r="A39" s="16" t="s">
        <v>89</v>
      </c>
      <c r="B39" t="s">
        <v>33</v>
      </c>
      <c r="C39" s="80" t="s">
        <v>18</v>
      </c>
      <c r="D39" s="7">
        <v>519</v>
      </c>
      <c r="G39" s="16"/>
    </row>
    <row r="40" spans="1:11" x14ac:dyDescent="0.25">
      <c r="A40" s="16" t="s">
        <v>90</v>
      </c>
      <c r="B40" s="26" t="s">
        <v>293</v>
      </c>
      <c r="C40" s="26" t="s">
        <v>294</v>
      </c>
      <c r="D40" s="7">
        <v>500</v>
      </c>
      <c r="G40" s="16"/>
    </row>
    <row r="41" spans="1:11" x14ac:dyDescent="0.25">
      <c r="A41" s="16" t="s">
        <v>91</v>
      </c>
      <c r="B41" s="48" t="s">
        <v>176</v>
      </c>
      <c r="C41" t="s">
        <v>100</v>
      </c>
      <c r="D41" s="7">
        <v>498</v>
      </c>
      <c r="G41" s="16"/>
    </row>
    <row r="42" spans="1:11" x14ac:dyDescent="0.25">
      <c r="A42" s="16" t="s">
        <v>92</v>
      </c>
      <c r="B42" s="48" t="s">
        <v>125</v>
      </c>
      <c r="C42" s="26" t="s">
        <v>127</v>
      </c>
      <c r="D42" s="7">
        <v>491</v>
      </c>
      <c r="G42" s="16"/>
      <c r="H42" s="48"/>
      <c r="I42" s="111" t="s">
        <v>98</v>
      </c>
      <c r="J42" s="4">
        <f>AVERAGE(J7:J38)</f>
        <v>497.5625</v>
      </c>
    </row>
    <row r="43" spans="1:11" x14ac:dyDescent="0.25">
      <c r="A43" s="16" t="s">
        <v>93</v>
      </c>
      <c r="B43" s="48" t="s">
        <v>270</v>
      </c>
      <c r="C43" s="48" t="s">
        <v>268</v>
      </c>
      <c r="D43" s="7">
        <v>477</v>
      </c>
      <c r="G43" s="16"/>
      <c r="J43" s="4"/>
    </row>
    <row r="44" spans="1:11" x14ac:dyDescent="0.25">
      <c r="A44" s="16" t="s">
        <v>94</v>
      </c>
      <c r="B44" t="s">
        <v>185</v>
      </c>
      <c r="C44" t="s">
        <v>18</v>
      </c>
      <c r="D44" s="7">
        <v>422</v>
      </c>
      <c r="G44" s="16"/>
      <c r="J44" s="4"/>
    </row>
    <row r="45" spans="1:11" x14ac:dyDescent="0.25">
      <c r="A45" s="16" t="s">
        <v>95</v>
      </c>
      <c r="B45" t="s">
        <v>199</v>
      </c>
      <c r="C45" t="s">
        <v>18</v>
      </c>
      <c r="D45" s="7">
        <v>393</v>
      </c>
      <c r="G45" s="16"/>
      <c r="J45" s="4"/>
    </row>
    <row r="46" spans="1:11" x14ac:dyDescent="0.25">
      <c r="A46" s="16"/>
      <c r="C46" s="111" t="s">
        <v>98</v>
      </c>
      <c r="D46" s="7">
        <f>AVERAGE(D7:D45)</f>
        <v>543.07692307692309</v>
      </c>
      <c r="H46" s="4"/>
      <c r="I46" s="4"/>
    </row>
    <row r="47" spans="1:11" x14ac:dyDescent="0.25">
      <c r="A47" s="16"/>
      <c r="B47" s="48" t="s">
        <v>165</v>
      </c>
      <c r="C47" s="48" t="s">
        <v>171</v>
      </c>
    </row>
    <row r="48" spans="1:11" x14ac:dyDescent="0.25">
      <c r="B48" s="48" t="s">
        <v>170</v>
      </c>
      <c r="C48" s="48" t="s">
        <v>171</v>
      </c>
    </row>
    <row r="49" spans="2:3" x14ac:dyDescent="0.25">
      <c r="B49" s="81" t="s">
        <v>114</v>
      </c>
      <c r="C49" s="81" t="s">
        <v>171</v>
      </c>
    </row>
    <row r="50" spans="2:3" x14ac:dyDescent="0.25">
      <c r="B50" s="48" t="s">
        <v>202</v>
      </c>
      <c r="C50" s="48" t="s">
        <v>171</v>
      </c>
    </row>
    <row r="52" spans="2:3" x14ac:dyDescent="0.25">
      <c r="B52" t="s">
        <v>34</v>
      </c>
      <c r="C52" s="80" t="s">
        <v>18</v>
      </c>
    </row>
    <row r="53" spans="2:3" x14ac:dyDescent="0.25">
      <c r="B53" t="s">
        <v>35</v>
      </c>
      <c r="C53" s="80" t="s">
        <v>18</v>
      </c>
    </row>
    <row r="60" spans="2:3" x14ac:dyDescent="0.25">
      <c r="B60" s="48"/>
    </row>
  </sheetData>
  <pageMargins left="0.57999999999999996" right="0.41" top="0.32" bottom="0.33" header="0.19" footer="0.21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6"/>
  <sheetViews>
    <sheetView zoomScaleNormal="100" workbookViewId="0">
      <selection activeCell="B34" sqref="B34"/>
    </sheetView>
  </sheetViews>
  <sheetFormatPr defaultRowHeight="15" x14ac:dyDescent="0.25"/>
  <cols>
    <col min="1" max="1" width="3.140625" style="16" customWidth="1"/>
    <col min="2" max="2" width="16.7109375" customWidth="1"/>
    <col min="3" max="3" width="14.85546875" customWidth="1"/>
    <col min="4" max="4" width="5.5703125" style="17" customWidth="1"/>
    <col min="5" max="5" width="3.7109375" customWidth="1"/>
    <col min="6" max="6" width="3" customWidth="1"/>
    <col min="7" max="7" width="17" customWidth="1"/>
    <col min="8" max="8" width="15.85546875" customWidth="1"/>
    <col min="9" max="9" width="6.42578125" style="17" customWidth="1"/>
    <col min="10" max="10" width="2.42578125" style="17" customWidth="1"/>
    <col min="11" max="11" width="2.85546875" customWidth="1"/>
    <col min="12" max="12" width="20.5703125" customWidth="1"/>
    <col min="13" max="13" width="15.85546875" customWidth="1"/>
    <col min="14" max="14" width="6.28515625" style="17" customWidth="1"/>
  </cols>
  <sheetData>
    <row r="1" spans="1:14" ht="18.75" x14ac:dyDescent="0.3">
      <c r="B1" s="10" t="s">
        <v>249</v>
      </c>
    </row>
    <row r="2" spans="1:14" ht="5.25" customHeight="1" x14ac:dyDescent="0.25"/>
    <row r="3" spans="1:14" x14ac:dyDescent="0.25">
      <c r="B3" s="12" t="s">
        <v>55</v>
      </c>
    </row>
    <row r="4" spans="1:14" ht="3" customHeight="1" x14ac:dyDescent="0.25"/>
    <row r="5" spans="1:14" x14ac:dyDescent="0.25">
      <c r="C5" s="14" t="s">
        <v>38</v>
      </c>
      <c r="E5" s="15"/>
      <c r="F5" s="15"/>
      <c r="G5" s="15"/>
      <c r="H5" s="14" t="s">
        <v>53</v>
      </c>
      <c r="K5" s="15"/>
      <c r="L5" s="15"/>
      <c r="M5" s="14" t="s">
        <v>54</v>
      </c>
    </row>
    <row r="6" spans="1:14" ht="3" customHeight="1" x14ac:dyDescent="0.25"/>
    <row r="7" spans="1:14" x14ac:dyDescent="0.25">
      <c r="A7" s="16" t="s">
        <v>0</v>
      </c>
      <c r="B7" s="26" t="s">
        <v>173</v>
      </c>
      <c r="C7" s="26" t="s">
        <v>175</v>
      </c>
      <c r="D7" s="230">
        <v>1224</v>
      </c>
      <c r="F7" s="16" t="s">
        <v>0</v>
      </c>
      <c r="G7" s="48" t="s">
        <v>252</v>
      </c>
      <c r="H7" s="48" t="s">
        <v>254</v>
      </c>
      <c r="I7" s="229">
        <v>1093</v>
      </c>
      <c r="J7" s="18"/>
      <c r="K7" s="16" t="s">
        <v>0</v>
      </c>
      <c r="L7" s="80" t="s">
        <v>26</v>
      </c>
      <c r="M7" s="26" t="s">
        <v>245</v>
      </c>
      <c r="N7" s="229">
        <v>1080</v>
      </c>
    </row>
    <row r="8" spans="1:14" x14ac:dyDescent="0.25">
      <c r="B8" s="26" t="s">
        <v>242</v>
      </c>
      <c r="C8" s="26" t="s">
        <v>175</v>
      </c>
      <c r="D8" s="230"/>
      <c r="F8" s="16"/>
      <c r="G8" s="48" t="s">
        <v>223</v>
      </c>
      <c r="H8" s="48" t="s">
        <v>254</v>
      </c>
      <c r="I8" s="229"/>
      <c r="J8" s="18"/>
      <c r="K8" s="16"/>
      <c r="L8" s="80" t="s">
        <v>27</v>
      </c>
      <c r="M8" s="26" t="s">
        <v>245</v>
      </c>
      <c r="N8" s="229"/>
    </row>
    <row r="9" spans="1:14" x14ac:dyDescent="0.25">
      <c r="A9" s="16" t="s">
        <v>9</v>
      </c>
      <c r="B9" s="80" t="s">
        <v>83</v>
      </c>
      <c r="C9" t="s">
        <v>18</v>
      </c>
      <c r="D9" s="229">
        <v>1168</v>
      </c>
      <c r="F9" s="16" t="s">
        <v>9</v>
      </c>
      <c r="G9" t="s">
        <v>153</v>
      </c>
      <c r="H9" t="s">
        <v>161</v>
      </c>
      <c r="I9" s="229">
        <v>1091</v>
      </c>
      <c r="J9" s="18"/>
      <c r="K9" s="16" t="s">
        <v>9</v>
      </c>
      <c r="L9" s="48" t="s">
        <v>262</v>
      </c>
      <c r="M9" s="26" t="s">
        <v>198</v>
      </c>
      <c r="N9" s="229">
        <v>1076</v>
      </c>
    </row>
    <row r="10" spans="1:14" x14ac:dyDescent="0.25">
      <c r="B10" t="s">
        <v>30</v>
      </c>
      <c r="C10" t="s">
        <v>18</v>
      </c>
      <c r="D10" s="229"/>
      <c r="F10" s="16"/>
      <c r="G10" t="s">
        <v>160</v>
      </c>
      <c r="H10" t="s">
        <v>161</v>
      </c>
      <c r="I10" s="229"/>
      <c r="J10" s="18"/>
      <c r="K10" s="16"/>
      <c r="L10" s="26" t="s">
        <v>263</v>
      </c>
      <c r="M10" s="26" t="s">
        <v>198</v>
      </c>
      <c r="N10" s="229"/>
    </row>
    <row r="11" spans="1:14" x14ac:dyDescent="0.25">
      <c r="A11" s="16" t="s">
        <v>10</v>
      </c>
      <c r="B11" s="48" t="s">
        <v>272</v>
      </c>
      <c r="C11" s="48" t="s">
        <v>268</v>
      </c>
      <c r="D11" s="229">
        <v>1162</v>
      </c>
      <c r="F11" s="16" t="s">
        <v>10</v>
      </c>
      <c r="G11" s="26" t="s">
        <v>130</v>
      </c>
      <c r="H11" s="26" t="s">
        <v>260</v>
      </c>
      <c r="I11" s="229">
        <v>1083</v>
      </c>
      <c r="J11" s="18"/>
      <c r="K11" s="16" t="s">
        <v>10</v>
      </c>
      <c r="L11" s="48" t="s">
        <v>197</v>
      </c>
      <c r="M11" s="26" t="s">
        <v>198</v>
      </c>
      <c r="N11" s="229">
        <v>1057</v>
      </c>
    </row>
    <row r="12" spans="1:14" x14ac:dyDescent="0.25">
      <c r="B12" s="48" t="s">
        <v>271</v>
      </c>
      <c r="C12" s="48" t="s">
        <v>268</v>
      </c>
      <c r="D12" s="229"/>
      <c r="F12" s="16"/>
      <c r="G12" s="26" t="s">
        <v>257</v>
      </c>
      <c r="H12" s="26" t="s">
        <v>260</v>
      </c>
      <c r="I12" s="229"/>
      <c r="J12" s="18"/>
      <c r="K12" s="16"/>
      <c r="L12" s="48" t="s">
        <v>261</v>
      </c>
      <c r="M12" s="26" t="s">
        <v>198</v>
      </c>
      <c r="N12" s="229"/>
    </row>
    <row r="13" spans="1:14" x14ac:dyDescent="0.25">
      <c r="A13" s="16" t="s">
        <v>11</v>
      </c>
      <c r="B13" s="26" t="s">
        <v>282</v>
      </c>
      <c r="C13" s="26" t="s">
        <v>279</v>
      </c>
      <c r="D13" s="229">
        <v>1139</v>
      </c>
      <c r="F13" s="16" t="s">
        <v>11</v>
      </c>
      <c r="G13" t="s">
        <v>132</v>
      </c>
      <c r="H13" s="26" t="s">
        <v>255</v>
      </c>
      <c r="I13" s="229">
        <v>1055</v>
      </c>
      <c r="J13" s="18"/>
      <c r="K13" s="16" t="s">
        <v>11</v>
      </c>
      <c r="L13" t="s">
        <v>244</v>
      </c>
      <c r="M13" s="26" t="s">
        <v>245</v>
      </c>
      <c r="N13" s="229">
        <v>1041</v>
      </c>
    </row>
    <row r="14" spans="1:14" x14ac:dyDescent="0.25">
      <c r="B14" s="26" t="s">
        <v>283</v>
      </c>
      <c r="C14" s="26" t="s">
        <v>279</v>
      </c>
      <c r="D14" s="229"/>
      <c r="F14" s="16"/>
      <c r="G14" s="26" t="s">
        <v>203</v>
      </c>
      <c r="H14" s="26" t="s">
        <v>255</v>
      </c>
      <c r="I14" s="229"/>
      <c r="J14" s="18"/>
      <c r="K14" s="16"/>
      <c r="L14" t="s">
        <v>201</v>
      </c>
      <c r="M14" s="26" t="s">
        <v>245</v>
      </c>
      <c r="N14" s="229"/>
    </row>
    <row r="15" spans="1:14" x14ac:dyDescent="0.25">
      <c r="A15" s="16" t="s">
        <v>12</v>
      </c>
      <c r="B15" t="s">
        <v>87</v>
      </c>
      <c r="C15" t="s">
        <v>294</v>
      </c>
      <c r="D15" s="229">
        <v>1130</v>
      </c>
      <c r="F15" s="16" t="s">
        <v>12</v>
      </c>
      <c r="G15" t="s">
        <v>162</v>
      </c>
      <c r="H15" t="s">
        <v>161</v>
      </c>
      <c r="I15" s="229">
        <v>1047</v>
      </c>
      <c r="J15" s="18"/>
      <c r="K15" s="16" t="s">
        <v>12</v>
      </c>
      <c r="L15" s="48" t="s">
        <v>273</v>
      </c>
      <c r="M15" s="48" t="s">
        <v>268</v>
      </c>
      <c r="N15" s="229">
        <v>1004</v>
      </c>
    </row>
    <row r="16" spans="1:14" x14ac:dyDescent="0.25">
      <c r="B16" t="s">
        <v>88</v>
      </c>
      <c r="C16" t="s">
        <v>294</v>
      </c>
      <c r="D16" s="229"/>
      <c r="F16" s="16"/>
      <c r="G16" t="s">
        <v>163</v>
      </c>
      <c r="H16" t="s">
        <v>161</v>
      </c>
      <c r="I16" s="229"/>
      <c r="J16" s="18"/>
      <c r="K16" s="16"/>
      <c r="L16" s="48" t="s">
        <v>274</v>
      </c>
      <c r="M16" s="48" t="s">
        <v>268</v>
      </c>
      <c r="N16" s="229"/>
    </row>
    <row r="17" spans="1:14" x14ac:dyDescent="0.25">
      <c r="A17" s="16" t="s">
        <v>13</v>
      </c>
      <c r="B17" s="48" t="s">
        <v>84</v>
      </c>
      <c r="C17" t="s">
        <v>18</v>
      </c>
      <c r="D17" s="229">
        <v>1127</v>
      </c>
      <c r="F17" s="16" t="s">
        <v>13</v>
      </c>
      <c r="G17" s="80" t="s">
        <v>20</v>
      </c>
      <c r="H17" t="s">
        <v>18</v>
      </c>
      <c r="I17" s="229">
        <v>1026</v>
      </c>
      <c r="J17" s="18"/>
      <c r="K17" s="16" t="s">
        <v>13</v>
      </c>
      <c r="L17" s="26" t="s">
        <v>194</v>
      </c>
      <c r="M17" s="26" t="s">
        <v>192</v>
      </c>
      <c r="N17" s="229">
        <v>992</v>
      </c>
    </row>
    <row r="18" spans="1:14" x14ac:dyDescent="0.25">
      <c r="B18" t="s">
        <v>32</v>
      </c>
      <c r="C18" t="s">
        <v>18</v>
      </c>
      <c r="D18" s="229"/>
      <c r="F18" s="16"/>
      <c r="G18" s="26" t="s">
        <v>246</v>
      </c>
      <c r="H18" t="s">
        <v>18</v>
      </c>
      <c r="I18" s="229"/>
      <c r="J18" s="18"/>
      <c r="K18" s="16"/>
      <c r="L18" s="26" t="s">
        <v>196</v>
      </c>
      <c r="M18" s="26" t="s">
        <v>192</v>
      </c>
      <c r="N18" s="229"/>
    </row>
    <row r="19" spans="1:14" x14ac:dyDescent="0.25">
      <c r="A19" s="16" t="s">
        <v>39</v>
      </c>
      <c r="B19" s="80" t="s">
        <v>56</v>
      </c>
      <c r="C19" t="s">
        <v>18</v>
      </c>
      <c r="D19" s="229">
        <v>1102</v>
      </c>
      <c r="F19" s="16" t="s">
        <v>39</v>
      </c>
      <c r="G19" s="26" t="s">
        <v>65</v>
      </c>
      <c r="H19" s="26" t="s">
        <v>63</v>
      </c>
      <c r="I19" s="229">
        <v>1018</v>
      </c>
      <c r="J19" s="18"/>
      <c r="K19" s="16" t="s">
        <v>39</v>
      </c>
      <c r="L19" s="26" t="s">
        <v>57</v>
      </c>
      <c r="M19" s="26" t="s">
        <v>18</v>
      </c>
      <c r="N19" s="229">
        <v>966</v>
      </c>
    </row>
    <row r="20" spans="1:14" x14ac:dyDescent="0.25">
      <c r="B20" s="80" t="s">
        <v>36</v>
      </c>
      <c r="C20" t="s">
        <v>18</v>
      </c>
      <c r="D20" s="229"/>
      <c r="F20" s="16"/>
      <c r="G20" s="26" t="s">
        <v>248</v>
      </c>
      <c r="H20" s="26" t="s">
        <v>63</v>
      </c>
      <c r="I20" s="229"/>
      <c r="J20" s="18"/>
      <c r="K20" s="16"/>
      <c r="L20" s="26" t="s">
        <v>96</v>
      </c>
      <c r="M20" s="26" t="s">
        <v>18</v>
      </c>
      <c r="N20" s="229"/>
    </row>
    <row r="21" spans="1:14" x14ac:dyDescent="0.25">
      <c r="A21" s="16" t="s">
        <v>40</v>
      </c>
      <c r="B21" t="s">
        <v>78</v>
      </c>
      <c r="C21" t="s">
        <v>18</v>
      </c>
      <c r="D21" s="229">
        <v>1100</v>
      </c>
      <c r="F21" s="16" t="s">
        <v>40</v>
      </c>
      <c r="G21" s="48" t="s">
        <v>250</v>
      </c>
      <c r="H21" s="48" t="s">
        <v>254</v>
      </c>
      <c r="I21" s="229">
        <v>1010</v>
      </c>
      <c r="J21" s="18"/>
      <c r="K21" s="16" t="s">
        <v>40</v>
      </c>
      <c r="L21" s="48" t="s">
        <v>275</v>
      </c>
      <c r="M21" s="48" t="s">
        <v>268</v>
      </c>
      <c r="N21" s="229">
        <v>930</v>
      </c>
    </row>
    <row r="22" spans="1:14" x14ac:dyDescent="0.25">
      <c r="B22" t="s">
        <v>79</v>
      </c>
      <c r="C22" t="s">
        <v>18</v>
      </c>
      <c r="D22" s="229"/>
      <c r="F22" s="16"/>
      <c r="G22" s="48" t="s">
        <v>251</v>
      </c>
      <c r="H22" s="48" t="s">
        <v>254</v>
      </c>
      <c r="I22" s="229"/>
      <c r="J22" s="18"/>
      <c r="K22" s="16"/>
      <c r="L22" s="48" t="s">
        <v>276</v>
      </c>
      <c r="M22" s="48" t="s">
        <v>268</v>
      </c>
      <c r="N22" s="229"/>
    </row>
    <row r="23" spans="1:14" x14ac:dyDescent="0.25">
      <c r="A23" s="16" t="s">
        <v>41</v>
      </c>
      <c r="B23" s="48" t="s">
        <v>99</v>
      </c>
      <c r="C23" t="s">
        <v>127</v>
      </c>
      <c r="D23" s="229">
        <v>1099</v>
      </c>
      <c r="E23" s="231">
        <v>395</v>
      </c>
      <c r="F23" s="16" t="s">
        <v>41</v>
      </c>
      <c r="G23" s="48" t="s">
        <v>23</v>
      </c>
      <c r="H23" t="s">
        <v>18</v>
      </c>
      <c r="I23" s="229">
        <v>1005</v>
      </c>
      <c r="J23" s="18"/>
      <c r="K23" s="16" t="s">
        <v>41</v>
      </c>
      <c r="L23" s="26" t="s">
        <v>64</v>
      </c>
      <c r="M23" s="26" t="s">
        <v>63</v>
      </c>
      <c r="N23" s="229">
        <v>910</v>
      </c>
    </row>
    <row r="24" spans="1:14" x14ac:dyDescent="0.25">
      <c r="B24" s="48" t="s">
        <v>16</v>
      </c>
      <c r="C24" t="s">
        <v>127</v>
      </c>
      <c r="D24" s="229"/>
      <c r="E24" s="231"/>
      <c r="F24" s="16"/>
      <c r="G24" s="48" t="s">
        <v>17</v>
      </c>
      <c r="H24" t="s">
        <v>18</v>
      </c>
      <c r="I24" s="229"/>
      <c r="J24" s="18"/>
      <c r="K24" s="16"/>
      <c r="L24" s="48" t="s">
        <v>247</v>
      </c>
      <c r="M24" s="26" t="s">
        <v>63</v>
      </c>
      <c r="N24" s="229"/>
    </row>
    <row r="25" spans="1:14" x14ac:dyDescent="0.25">
      <c r="A25" s="16" t="s">
        <v>42</v>
      </c>
      <c r="B25" s="26" t="s">
        <v>285</v>
      </c>
      <c r="C25" s="26" t="s">
        <v>284</v>
      </c>
      <c r="D25" s="229">
        <v>1099</v>
      </c>
      <c r="E25" s="231">
        <v>382</v>
      </c>
      <c r="F25" s="16" t="s">
        <v>42</v>
      </c>
      <c r="G25" s="26" t="s">
        <v>137</v>
      </c>
      <c r="H25" s="26" t="s">
        <v>255</v>
      </c>
      <c r="I25" s="229">
        <v>990</v>
      </c>
      <c r="J25" s="18"/>
      <c r="K25" s="16" t="s">
        <v>42</v>
      </c>
      <c r="L25" s="26" t="s">
        <v>193</v>
      </c>
      <c r="M25" s="26" t="s">
        <v>192</v>
      </c>
      <c r="N25" s="229">
        <v>877</v>
      </c>
    </row>
    <row r="26" spans="1:14" x14ac:dyDescent="0.25">
      <c r="B26" s="26" t="s">
        <v>286</v>
      </c>
      <c r="C26" s="26" t="s">
        <v>284</v>
      </c>
      <c r="D26" s="229"/>
      <c r="E26" s="231"/>
      <c r="F26" s="16"/>
      <c r="G26" s="26" t="s">
        <v>136</v>
      </c>
      <c r="H26" s="26" t="s">
        <v>255</v>
      </c>
      <c r="I26" s="229"/>
      <c r="J26" s="18"/>
      <c r="K26" s="16"/>
      <c r="L26" s="48" t="s">
        <v>291</v>
      </c>
      <c r="M26" s="26" t="s">
        <v>192</v>
      </c>
      <c r="N26" s="229"/>
    </row>
    <row r="27" spans="1:14" x14ac:dyDescent="0.25">
      <c r="A27" s="16" t="s">
        <v>43</v>
      </c>
      <c r="B27" s="26" t="s">
        <v>280</v>
      </c>
      <c r="C27" s="26" t="s">
        <v>279</v>
      </c>
      <c r="D27" s="229">
        <v>1095</v>
      </c>
      <c r="F27" s="16" t="s">
        <v>43</v>
      </c>
      <c r="G27" s="48" t="s">
        <v>235</v>
      </c>
      <c r="H27" s="26" t="s">
        <v>265</v>
      </c>
      <c r="I27" s="229">
        <v>986</v>
      </c>
      <c r="J27" s="18"/>
      <c r="K27" s="14" t="s">
        <v>43</v>
      </c>
      <c r="L27" s="48" t="s">
        <v>188</v>
      </c>
      <c r="M27" s="26" t="s">
        <v>18</v>
      </c>
      <c r="N27" s="229">
        <v>811</v>
      </c>
    </row>
    <row r="28" spans="1:14" x14ac:dyDescent="0.25">
      <c r="B28" s="26" t="s">
        <v>281</v>
      </c>
      <c r="C28" s="26" t="s">
        <v>279</v>
      </c>
      <c r="D28" s="229"/>
      <c r="F28" s="16"/>
      <c r="G28" s="48" t="s">
        <v>181</v>
      </c>
      <c r="H28" s="26" t="s">
        <v>265</v>
      </c>
      <c r="I28" s="229"/>
      <c r="J28" s="18"/>
      <c r="L28" s="26" t="s">
        <v>295</v>
      </c>
      <c r="M28" s="26" t="s">
        <v>18</v>
      </c>
      <c r="N28" s="229"/>
    </row>
    <row r="29" spans="1:14" x14ac:dyDescent="0.25">
      <c r="A29" s="16" t="s">
        <v>44</v>
      </c>
      <c r="B29" t="s">
        <v>31</v>
      </c>
      <c r="C29" s="80" t="s">
        <v>18</v>
      </c>
      <c r="D29" s="229">
        <v>1091</v>
      </c>
      <c r="F29" s="16" t="s">
        <v>44</v>
      </c>
      <c r="G29" t="s">
        <v>24</v>
      </c>
      <c r="H29" t="s">
        <v>264</v>
      </c>
      <c r="I29" s="229">
        <v>969</v>
      </c>
      <c r="L29" s="26"/>
      <c r="M29" s="26"/>
    </row>
    <row r="30" spans="1:14" x14ac:dyDescent="0.25">
      <c r="B30" t="s">
        <v>33</v>
      </c>
      <c r="C30" s="80" t="s">
        <v>18</v>
      </c>
      <c r="D30" s="229"/>
      <c r="F30" s="16"/>
      <c r="G30" t="s">
        <v>25</v>
      </c>
      <c r="H30" t="s">
        <v>264</v>
      </c>
      <c r="I30" s="229"/>
      <c r="L30" s="26"/>
      <c r="M30" s="26"/>
    </row>
    <row r="31" spans="1:14" x14ac:dyDescent="0.25">
      <c r="A31" s="16" t="s">
        <v>45</v>
      </c>
      <c r="B31" s="26" t="s">
        <v>174</v>
      </c>
      <c r="C31" s="26" t="s">
        <v>175</v>
      </c>
      <c r="D31" s="229">
        <v>1089</v>
      </c>
      <c r="F31" s="16" t="s">
        <v>45</v>
      </c>
      <c r="G31" s="48" t="s">
        <v>277</v>
      </c>
      <c r="H31" s="48" t="s">
        <v>207</v>
      </c>
      <c r="I31" s="229">
        <v>935</v>
      </c>
    </row>
    <row r="32" spans="1:14" x14ac:dyDescent="0.25">
      <c r="B32" s="26" t="s">
        <v>155</v>
      </c>
      <c r="C32" s="26" t="s">
        <v>175</v>
      </c>
      <c r="D32" s="229"/>
      <c r="F32" s="16"/>
      <c r="G32" s="48" t="s">
        <v>278</v>
      </c>
      <c r="H32" s="48" t="s">
        <v>207</v>
      </c>
      <c r="I32" s="229"/>
    </row>
    <row r="33" spans="1:9" x14ac:dyDescent="0.25">
      <c r="A33" s="16" t="s">
        <v>46</v>
      </c>
      <c r="B33" t="s">
        <v>287</v>
      </c>
      <c r="C33" t="s">
        <v>284</v>
      </c>
      <c r="D33" s="229">
        <v>1082</v>
      </c>
      <c r="F33" s="16" t="s">
        <v>46</v>
      </c>
      <c r="G33" s="48" t="s">
        <v>210</v>
      </c>
      <c r="H33" s="48" t="s">
        <v>207</v>
      </c>
      <c r="I33" s="229">
        <v>909</v>
      </c>
    </row>
    <row r="34" spans="1:9" x14ac:dyDescent="0.25">
      <c r="B34" s="26" t="s">
        <v>288</v>
      </c>
      <c r="C34" s="26" t="s">
        <v>284</v>
      </c>
      <c r="D34" s="229"/>
      <c r="F34" s="16"/>
      <c r="G34" s="48" t="s">
        <v>208</v>
      </c>
      <c r="H34" s="48" t="s">
        <v>207</v>
      </c>
      <c r="I34" s="229"/>
    </row>
    <row r="35" spans="1:9" x14ac:dyDescent="0.25">
      <c r="A35" s="16" t="s">
        <v>47</v>
      </c>
      <c r="B35" s="48" t="s">
        <v>22</v>
      </c>
      <c r="C35" s="26" t="s">
        <v>100</v>
      </c>
      <c r="D35" s="229">
        <v>1045</v>
      </c>
      <c r="F35" s="16" t="s">
        <v>47</v>
      </c>
      <c r="G35" t="s">
        <v>115</v>
      </c>
      <c r="H35" t="s">
        <v>264</v>
      </c>
      <c r="I35" s="229">
        <v>895</v>
      </c>
    </row>
    <row r="36" spans="1:9" x14ac:dyDescent="0.25">
      <c r="B36" s="48" t="s">
        <v>176</v>
      </c>
      <c r="C36" s="26" t="s">
        <v>100</v>
      </c>
      <c r="D36" s="229"/>
      <c r="G36" t="s">
        <v>169</v>
      </c>
      <c r="H36" t="s">
        <v>264</v>
      </c>
      <c r="I36" s="229"/>
    </row>
    <row r="37" spans="1:9" x14ac:dyDescent="0.25">
      <c r="A37" s="16" t="s">
        <v>48</v>
      </c>
      <c r="B37" s="26" t="s">
        <v>232</v>
      </c>
      <c r="C37" s="26" t="s">
        <v>294</v>
      </c>
      <c r="D37" s="229">
        <v>1036</v>
      </c>
      <c r="F37" s="16"/>
    </row>
    <row r="38" spans="1:9" x14ac:dyDescent="0.25">
      <c r="B38" s="26" t="s">
        <v>293</v>
      </c>
      <c r="C38" s="26" t="s">
        <v>294</v>
      </c>
      <c r="D38" s="229"/>
      <c r="F38" s="16"/>
    </row>
    <row r="39" spans="1:9" x14ac:dyDescent="0.25">
      <c r="A39" s="16" t="s">
        <v>49</v>
      </c>
      <c r="B39" s="48" t="s">
        <v>125</v>
      </c>
      <c r="C39" s="26" t="s">
        <v>127</v>
      </c>
      <c r="D39" s="229">
        <v>1019</v>
      </c>
      <c r="F39" s="16"/>
    </row>
    <row r="40" spans="1:9" x14ac:dyDescent="0.25">
      <c r="B40" s="48" t="s">
        <v>124</v>
      </c>
      <c r="C40" s="26" t="s">
        <v>127</v>
      </c>
      <c r="D40" s="229"/>
      <c r="F40" s="16"/>
    </row>
    <row r="41" spans="1:9" x14ac:dyDescent="0.25">
      <c r="A41" s="16" t="s">
        <v>50</v>
      </c>
      <c r="B41" s="48" t="s">
        <v>269</v>
      </c>
      <c r="C41" s="48" t="s">
        <v>268</v>
      </c>
      <c r="D41" s="229">
        <v>1008</v>
      </c>
      <c r="F41" s="16"/>
    </row>
    <row r="42" spans="1:9" x14ac:dyDescent="0.25">
      <c r="B42" s="48" t="s">
        <v>270</v>
      </c>
      <c r="C42" s="48" t="s">
        <v>268</v>
      </c>
      <c r="D42" s="229"/>
    </row>
    <row r="43" spans="1:9" x14ac:dyDescent="0.25">
      <c r="A43" s="16" t="s">
        <v>51</v>
      </c>
      <c r="B43" t="s">
        <v>199</v>
      </c>
      <c r="C43" t="s">
        <v>18</v>
      </c>
      <c r="D43" s="229">
        <v>815</v>
      </c>
      <c r="F43" s="16"/>
      <c r="G43" s="48"/>
      <c r="H43" s="48"/>
      <c r="I43" s="229"/>
    </row>
    <row r="44" spans="1:9" x14ac:dyDescent="0.25">
      <c r="B44" t="s">
        <v>185</v>
      </c>
      <c r="C44" t="s">
        <v>18</v>
      </c>
      <c r="D44" s="229"/>
      <c r="F44" s="16"/>
      <c r="G44" s="48"/>
      <c r="H44" s="48"/>
      <c r="I44" s="229"/>
    </row>
    <row r="45" spans="1:9" x14ac:dyDescent="0.25">
      <c r="A45" s="16" t="s">
        <v>52</v>
      </c>
      <c r="B45" s="48" t="s">
        <v>165</v>
      </c>
      <c r="C45" s="48" t="s">
        <v>171</v>
      </c>
    </row>
    <row r="46" spans="1:9" x14ac:dyDescent="0.25">
      <c r="B46" s="48" t="s">
        <v>170</v>
      </c>
      <c r="C46" s="48" t="s">
        <v>171</v>
      </c>
    </row>
    <row r="47" spans="1:9" x14ac:dyDescent="0.25">
      <c r="A47" s="16" t="s">
        <v>66</v>
      </c>
      <c r="B47" s="48" t="s">
        <v>202</v>
      </c>
      <c r="C47" s="48" t="s">
        <v>171</v>
      </c>
    </row>
    <row r="48" spans="1:9" x14ac:dyDescent="0.25">
      <c r="B48" s="48" t="s">
        <v>114</v>
      </c>
      <c r="C48" s="48" t="s">
        <v>171</v>
      </c>
    </row>
    <row r="55" spans="2:3" x14ac:dyDescent="0.25">
      <c r="B55" s="80" t="s">
        <v>35</v>
      </c>
      <c r="C55" s="80" t="s">
        <v>18</v>
      </c>
    </row>
    <row r="56" spans="2:3" x14ac:dyDescent="0.25">
      <c r="B56" s="80" t="s">
        <v>34</v>
      </c>
      <c r="C56" s="80" t="s">
        <v>18</v>
      </c>
    </row>
  </sheetData>
  <mergeCells count="48">
    <mergeCell ref="D41:D42"/>
    <mergeCell ref="D11:D12"/>
    <mergeCell ref="N15:N16"/>
    <mergeCell ref="N21:N22"/>
    <mergeCell ref="I31:I32"/>
    <mergeCell ref="N25:N26"/>
    <mergeCell ref="N23:N24"/>
    <mergeCell ref="I35:I36"/>
    <mergeCell ref="I29:I30"/>
    <mergeCell ref="I27:I28"/>
    <mergeCell ref="D39:D40"/>
    <mergeCell ref="D27:D28"/>
    <mergeCell ref="D25:D26"/>
    <mergeCell ref="E25:E26"/>
    <mergeCell ref="D13:D14"/>
    <mergeCell ref="D37:D38"/>
    <mergeCell ref="I43:I44"/>
    <mergeCell ref="I7:I8"/>
    <mergeCell ref="I11:I12"/>
    <mergeCell ref="D23:D24"/>
    <mergeCell ref="D7:D8"/>
    <mergeCell ref="D17:D18"/>
    <mergeCell ref="D43:D44"/>
    <mergeCell ref="I33:I34"/>
    <mergeCell ref="D35:D36"/>
    <mergeCell ref="D19:D20"/>
    <mergeCell ref="D21:D22"/>
    <mergeCell ref="E23:E24"/>
    <mergeCell ref="I25:I26"/>
    <mergeCell ref="D31:D32"/>
    <mergeCell ref="I23:I24"/>
    <mergeCell ref="D29:D30"/>
    <mergeCell ref="N7:N8"/>
    <mergeCell ref="N13:N14"/>
    <mergeCell ref="I19:I20"/>
    <mergeCell ref="I13:I14"/>
    <mergeCell ref="D33:D34"/>
    <mergeCell ref="D15:D16"/>
    <mergeCell ref="N19:N20"/>
    <mergeCell ref="N27:N28"/>
    <mergeCell ref="D9:D10"/>
    <mergeCell ref="I15:I16"/>
    <mergeCell ref="I9:I10"/>
    <mergeCell ref="I17:I18"/>
    <mergeCell ref="N11:N12"/>
    <mergeCell ref="N9:N10"/>
    <mergeCell ref="N17:N18"/>
    <mergeCell ref="I21:I22"/>
  </mergeCells>
  <pageMargins left="0.38" right="0.26" top="0.26" bottom="0.3" header="0.22" footer="0.17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78"/>
  <sheetViews>
    <sheetView topLeftCell="A51" zoomScaleNormal="100" workbookViewId="0">
      <selection activeCell="K73" sqref="K73"/>
    </sheetView>
  </sheetViews>
  <sheetFormatPr defaultRowHeight="15.75" x14ac:dyDescent="0.25"/>
  <cols>
    <col min="1" max="1" width="2.42578125" style="16" customWidth="1"/>
    <col min="2" max="2" width="22.140625" customWidth="1"/>
    <col min="3" max="3" width="16.42578125" customWidth="1"/>
    <col min="4" max="4" width="5.42578125" style="8" customWidth="1"/>
    <col min="5" max="5" width="7" style="8" customWidth="1"/>
    <col min="6" max="6" width="4.85546875" style="8" customWidth="1"/>
    <col min="7" max="7" width="3.5703125" style="8" customWidth="1"/>
    <col min="8" max="8" width="5.7109375" style="40" customWidth="1"/>
    <col min="9" max="9" width="7.140625" customWidth="1"/>
    <col min="10" max="10" width="7.42578125" customWidth="1"/>
  </cols>
  <sheetData>
    <row r="1" spans="1:10" ht="18.75" x14ac:dyDescent="0.3">
      <c r="B1" s="10" t="s">
        <v>298</v>
      </c>
      <c r="E1" s="11" t="s">
        <v>7</v>
      </c>
      <c r="F1" s="7"/>
      <c r="G1" s="7"/>
      <c r="H1" s="39" t="s">
        <v>8</v>
      </c>
    </row>
    <row r="2" spans="1:10" ht="3" customHeight="1" x14ac:dyDescent="0.25"/>
    <row r="3" spans="1:10" x14ac:dyDescent="0.25">
      <c r="A3" s="55"/>
      <c r="B3" s="53" t="s">
        <v>1</v>
      </c>
      <c r="C3" s="53" t="s">
        <v>2</v>
      </c>
      <c r="D3" s="53" t="s">
        <v>4</v>
      </c>
      <c r="E3" s="53" t="s">
        <v>5</v>
      </c>
      <c r="F3" s="53" t="s">
        <v>6</v>
      </c>
      <c r="G3" s="53">
        <v>9</v>
      </c>
      <c r="H3" s="42"/>
      <c r="I3" s="30"/>
      <c r="J3" s="30"/>
    </row>
    <row r="4" spans="1:10" ht="15.75" customHeight="1" x14ac:dyDescent="0.25">
      <c r="A4" s="56" t="s">
        <v>0</v>
      </c>
      <c r="B4" s="48" t="s">
        <v>323</v>
      </c>
      <c r="C4" s="48" t="s">
        <v>322</v>
      </c>
      <c r="D4" s="27">
        <f>103+93+102+96</f>
        <v>394</v>
      </c>
      <c r="E4" s="27">
        <f>53+36+61+53</f>
        <v>203</v>
      </c>
      <c r="F4" s="27">
        <v>1</v>
      </c>
      <c r="G4" s="27">
        <v>14</v>
      </c>
      <c r="H4" s="41">
        <f>+D4+E4</f>
        <v>597</v>
      </c>
      <c r="I4" s="218">
        <f t="shared" ref="I4" si="0">+H4+H5</f>
        <v>1178</v>
      </c>
      <c r="J4" s="221">
        <f t="shared" ref="J4" si="1">+I4+I6</f>
        <v>2314</v>
      </c>
    </row>
    <row r="5" spans="1:10" ht="15.75" customHeight="1" x14ac:dyDescent="0.25">
      <c r="A5" s="56"/>
      <c r="B5" s="48" t="s">
        <v>324</v>
      </c>
      <c r="C5" s="48" t="s">
        <v>322</v>
      </c>
      <c r="D5" s="27">
        <f>109+93+91+96</f>
        <v>389</v>
      </c>
      <c r="E5" s="27">
        <f>53+50+35+54</f>
        <v>192</v>
      </c>
      <c r="F5" s="27">
        <v>6</v>
      </c>
      <c r="G5" s="27">
        <v>13</v>
      </c>
      <c r="H5" s="41">
        <f>+D5+E5</f>
        <v>581</v>
      </c>
      <c r="I5" s="218"/>
      <c r="J5" s="222"/>
    </row>
    <row r="6" spans="1:10" ht="15.75" customHeight="1" x14ac:dyDescent="0.25">
      <c r="A6" s="56"/>
      <c r="B6" s="48" t="s">
        <v>325</v>
      </c>
      <c r="C6" s="48" t="s">
        <v>322</v>
      </c>
      <c r="D6" s="27">
        <f>79+87+90+88</f>
        <v>344</v>
      </c>
      <c r="E6" s="27">
        <f>42+52+61+58</f>
        <v>213</v>
      </c>
      <c r="F6" s="27">
        <v>6</v>
      </c>
      <c r="G6" s="27">
        <v>5</v>
      </c>
      <c r="H6" s="41">
        <f>+D6+E6</f>
        <v>557</v>
      </c>
      <c r="I6" s="218">
        <f t="shared" ref="I6" si="2">+H6+H7</f>
        <v>1136</v>
      </c>
      <c r="J6" s="222"/>
    </row>
    <row r="7" spans="1:10" ht="15.75" customHeight="1" x14ac:dyDescent="0.25">
      <c r="A7" s="55"/>
      <c r="B7" s="51" t="s">
        <v>326</v>
      </c>
      <c r="C7" s="51" t="s">
        <v>322</v>
      </c>
      <c r="D7" s="31">
        <f>102+89+94+95</f>
        <v>380</v>
      </c>
      <c r="E7" s="31">
        <f>41+52+44+62</f>
        <v>199</v>
      </c>
      <c r="F7" s="31">
        <v>5</v>
      </c>
      <c r="G7" s="31">
        <v>11</v>
      </c>
      <c r="H7" s="42">
        <f>+D7+E7</f>
        <v>579</v>
      </c>
      <c r="I7" s="219"/>
      <c r="J7" s="223"/>
    </row>
    <row r="8" spans="1:10" ht="15" customHeight="1" x14ac:dyDescent="0.25">
      <c r="A8" s="57" t="s">
        <v>9</v>
      </c>
      <c r="B8" s="33" t="s">
        <v>216</v>
      </c>
      <c r="C8" s="48" t="s">
        <v>142</v>
      </c>
      <c r="D8" s="8">
        <f>95+94+85+106</f>
        <v>380</v>
      </c>
      <c r="E8" s="8">
        <f>50+40+35+70</f>
        <v>195</v>
      </c>
      <c r="F8" s="8">
        <v>1</v>
      </c>
      <c r="G8" s="8">
        <v>8</v>
      </c>
      <c r="H8" s="40">
        <f>+D8+E8</f>
        <v>575</v>
      </c>
      <c r="I8" s="234">
        <f>+H8+H9</f>
        <v>1131</v>
      </c>
      <c r="J8" s="220">
        <f>+I8+I10</f>
        <v>2266</v>
      </c>
    </row>
    <row r="9" spans="1:10" ht="15" customHeight="1" x14ac:dyDescent="0.25">
      <c r="A9" s="56"/>
      <c r="B9" s="26" t="s">
        <v>82</v>
      </c>
      <c r="C9" s="48" t="s">
        <v>142</v>
      </c>
      <c r="D9" s="8">
        <f>87+89+106+98</f>
        <v>380</v>
      </c>
      <c r="E9" s="8">
        <f>35+44+45+52</f>
        <v>176</v>
      </c>
      <c r="F9" s="8">
        <v>7</v>
      </c>
      <c r="G9" s="8">
        <v>9</v>
      </c>
      <c r="H9" s="40">
        <f t="shared" ref="H9:H11" si="3">+D9+E9</f>
        <v>556</v>
      </c>
      <c r="I9" s="234"/>
      <c r="J9" s="220"/>
    </row>
    <row r="10" spans="1:10" ht="15" customHeight="1" x14ac:dyDescent="0.25">
      <c r="A10" s="56"/>
      <c r="B10" s="48" t="s">
        <v>172</v>
      </c>
      <c r="C10" s="48" t="s">
        <v>142</v>
      </c>
      <c r="D10" s="8">
        <f>92+97+97+102</f>
        <v>388</v>
      </c>
      <c r="E10" s="8">
        <f>34+41+45+63</f>
        <v>183</v>
      </c>
      <c r="F10" s="8">
        <v>6</v>
      </c>
      <c r="G10" s="8">
        <v>8</v>
      </c>
      <c r="H10" s="40">
        <f t="shared" si="3"/>
        <v>571</v>
      </c>
      <c r="I10" s="234">
        <f>+H10+H11</f>
        <v>1135</v>
      </c>
      <c r="J10" s="220"/>
    </row>
    <row r="11" spans="1:10" ht="15" customHeight="1" x14ac:dyDescent="0.25">
      <c r="A11" s="55"/>
      <c r="B11" s="51" t="s">
        <v>81</v>
      </c>
      <c r="C11" s="51" t="s">
        <v>142</v>
      </c>
      <c r="D11" s="31">
        <f>92+86+89+100</f>
        <v>367</v>
      </c>
      <c r="E11" s="31">
        <f>52+53+42+50</f>
        <v>197</v>
      </c>
      <c r="F11" s="31">
        <v>2</v>
      </c>
      <c r="G11" s="31">
        <v>11</v>
      </c>
      <c r="H11" s="42">
        <f t="shared" si="3"/>
        <v>564</v>
      </c>
      <c r="I11" s="234"/>
      <c r="J11" s="220"/>
    </row>
    <row r="12" spans="1:10" ht="15" customHeight="1" x14ac:dyDescent="0.25">
      <c r="A12" s="57" t="s">
        <v>10</v>
      </c>
      <c r="B12" s="48" t="s">
        <v>283</v>
      </c>
      <c r="C12" s="48" t="s">
        <v>317</v>
      </c>
      <c r="D12" s="8">
        <f>102+88+97+97</f>
        <v>384</v>
      </c>
      <c r="E12" s="8">
        <f>50+54+52+52</f>
        <v>208</v>
      </c>
      <c r="F12" s="8">
        <v>0</v>
      </c>
      <c r="G12" s="8">
        <v>7</v>
      </c>
      <c r="H12" s="43">
        <f>+D12+E12</f>
        <v>592</v>
      </c>
      <c r="I12" s="224">
        <f>+H12+H13</f>
        <v>1145</v>
      </c>
      <c r="J12" s="221">
        <f t="shared" ref="J12" si="4">+I12+I14</f>
        <v>2231</v>
      </c>
    </row>
    <row r="13" spans="1:10" ht="15" customHeight="1" x14ac:dyDescent="0.25">
      <c r="A13" s="56"/>
      <c r="B13" s="48" t="s">
        <v>321</v>
      </c>
      <c r="C13" s="48" t="s">
        <v>317</v>
      </c>
      <c r="D13" s="8">
        <f>88+101+98+86</f>
        <v>373</v>
      </c>
      <c r="E13" s="8">
        <f>42+50+45+43</f>
        <v>180</v>
      </c>
      <c r="F13" s="8">
        <v>2</v>
      </c>
      <c r="G13" s="8">
        <v>10</v>
      </c>
      <c r="H13" s="41">
        <f>+D13+E13</f>
        <v>553</v>
      </c>
      <c r="I13" s="218"/>
      <c r="J13" s="222"/>
    </row>
    <row r="14" spans="1:10" ht="15" customHeight="1" x14ac:dyDescent="0.25">
      <c r="A14" s="56"/>
      <c r="B14" s="48" t="s">
        <v>286</v>
      </c>
      <c r="C14" s="48" t="s">
        <v>317</v>
      </c>
      <c r="D14" s="8">
        <f>96+90+97+92</f>
        <v>375</v>
      </c>
      <c r="E14" s="8">
        <f>35+45+60+52</f>
        <v>192</v>
      </c>
      <c r="F14" s="8">
        <v>4</v>
      </c>
      <c r="G14" s="8">
        <v>7</v>
      </c>
      <c r="H14" s="41">
        <f>+D14+E14</f>
        <v>567</v>
      </c>
      <c r="I14" s="218">
        <f>+H14+H15</f>
        <v>1086</v>
      </c>
      <c r="J14" s="222"/>
    </row>
    <row r="15" spans="1:10" ht="15" customHeight="1" x14ac:dyDescent="0.25">
      <c r="A15" s="55"/>
      <c r="B15" s="30" t="s">
        <v>285</v>
      </c>
      <c r="C15" s="51" t="s">
        <v>317</v>
      </c>
      <c r="D15" s="31">
        <f>90+87+89+77</f>
        <v>343</v>
      </c>
      <c r="E15" s="31">
        <f>44+51+52+29</f>
        <v>176</v>
      </c>
      <c r="F15" s="31">
        <v>6</v>
      </c>
      <c r="G15" s="31">
        <v>8</v>
      </c>
      <c r="H15" s="42">
        <f>+D15+E15</f>
        <v>519</v>
      </c>
      <c r="I15" s="219"/>
      <c r="J15" s="223"/>
    </row>
    <row r="16" spans="1:10" ht="15" customHeight="1" x14ac:dyDescent="0.25">
      <c r="A16" s="57" t="s">
        <v>11</v>
      </c>
      <c r="B16" s="33" t="s">
        <v>173</v>
      </c>
      <c r="C16" s="33" t="s">
        <v>175</v>
      </c>
      <c r="D16" s="27">
        <f>98+85+112+89</f>
        <v>384</v>
      </c>
      <c r="E16" s="27">
        <f>53+51+52+44</f>
        <v>200</v>
      </c>
      <c r="F16" s="28">
        <v>3</v>
      </c>
      <c r="G16" s="27">
        <v>10</v>
      </c>
      <c r="H16" s="41">
        <f t="shared" ref="H16:H19" si="5">+D16+E16</f>
        <v>584</v>
      </c>
      <c r="I16" s="218">
        <f>+H16+H17</f>
        <v>1154</v>
      </c>
      <c r="J16" s="221">
        <f t="shared" ref="J16" si="6">+I16+I18</f>
        <v>2230</v>
      </c>
    </row>
    <row r="17" spans="1:14" ht="15" customHeight="1" x14ac:dyDescent="0.25">
      <c r="A17" s="56"/>
      <c r="B17" s="26" t="s">
        <v>242</v>
      </c>
      <c r="C17" s="26" t="s">
        <v>175</v>
      </c>
      <c r="D17" s="27">
        <f>92+97+92+84</f>
        <v>365</v>
      </c>
      <c r="E17" s="27">
        <f>61+52+45+47</f>
        <v>205</v>
      </c>
      <c r="F17" s="27">
        <v>3</v>
      </c>
      <c r="G17" s="27">
        <v>9</v>
      </c>
      <c r="H17" s="41">
        <f t="shared" si="5"/>
        <v>570</v>
      </c>
      <c r="I17" s="218"/>
      <c r="J17" s="222"/>
    </row>
    <row r="18" spans="1:14" ht="15" customHeight="1" x14ac:dyDescent="0.25">
      <c r="A18" s="56"/>
      <c r="B18" s="26" t="s">
        <v>174</v>
      </c>
      <c r="C18" s="26" t="s">
        <v>175</v>
      </c>
      <c r="D18" s="27">
        <f>95+76+103+98</f>
        <v>372</v>
      </c>
      <c r="E18" s="27">
        <f>26+40+52+42</f>
        <v>160</v>
      </c>
      <c r="F18" s="27">
        <v>5</v>
      </c>
      <c r="G18" s="27">
        <v>10</v>
      </c>
      <c r="H18" s="41">
        <f t="shared" si="5"/>
        <v>532</v>
      </c>
      <c r="I18" s="218">
        <f>+H18+H19</f>
        <v>1076</v>
      </c>
      <c r="J18" s="222"/>
    </row>
    <row r="19" spans="1:14" ht="15" customHeight="1" x14ac:dyDescent="0.25">
      <c r="A19" s="55"/>
      <c r="B19" s="30" t="s">
        <v>155</v>
      </c>
      <c r="C19" s="30" t="s">
        <v>175</v>
      </c>
      <c r="D19" s="31">
        <f>89+81+101+97</f>
        <v>368</v>
      </c>
      <c r="E19" s="31">
        <f>36+45+43+52</f>
        <v>176</v>
      </c>
      <c r="F19" s="31">
        <v>6</v>
      </c>
      <c r="G19" s="31">
        <v>11</v>
      </c>
      <c r="H19" s="42">
        <f t="shared" si="5"/>
        <v>544</v>
      </c>
      <c r="I19" s="219"/>
      <c r="J19" s="223"/>
    </row>
    <row r="20" spans="1:14" ht="15.75" customHeight="1" x14ac:dyDescent="0.25">
      <c r="A20" s="57" t="s">
        <v>12</v>
      </c>
      <c r="B20" s="26" t="s">
        <v>30</v>
      </c>
      <c r="C20" s="26" t="s">
        <v>129</v>
      </c>
      <c r="D20" s="83">
        <f>93+82+86+95</f>
        <v>356</v>
      </c>
      <c r="E20" s="35">
        <f>62+72+54+44</f>
        <v>232</v>
      </c>
      <c r="F20" s="83">
        <v>4</v>
      </c>
      <c r="G20" s="35">
        <v>15</v>
      </c>
      <c r="H20" s="43">
        <f>+D20+E20</f>
        <v>588</v>
      </c>
      <c r="I20" s="224">
        <f>+H20+H21</f>
        <v>1108</v>
      </c>
      <c r="J20" s="221">
        <f t="shared" ref="J20" si="7">+I20+I22</f>
        <v>2207</v>
      </c>
    </row>
    <row r="21" spans="1:14" ht="15" customHeight="1" x14ac:dyDescent="0.25">
      <c r="A21" s="56"/>
      <c r="B21" s="26" t="s">
        <v>83</v>
      </c>
      <c r="C21" s="26" t="s">
        <v>129</v>
      </c>
      <c r="D21" s="27">
        <f>83+78+79+94</f>
        <v>334</v>
      </c>
      <c r="E21" s="27">
        <f>42+30+63+51</f>
        <v>186</v>
      </c>
      <c r="F21" s="27">
        <v>3</v>
      </c>
      <c r="G21" s="27">
        <v>6</v>
      </c>
      <c r="H21" s="41">
        <f t="shared" ref="H21:H22" si="8">+D21+E21</f>
        <v>520</v>
      </c>
      <c r="I21" s="218"/>
      <c r="J21" s="222"/>
    </row>
    <row r="22" spans="1:14" ht="13.5" customHeight="1" x14ac:dyDescent="0.25">
      <c r="A22" s="56"/>
      <c r="B22" s="26" t="s">
        <v>32</v>
      </c>
      <c r="C22" s="26" t="s">
        <v>129</v>
      </c>
      <c r="D22" s="27">
        <f>97+92+95+91</f>
        <v>375</v>
      </c>
      <c r="E22" s="27">
        <f>43+44+42+51</f>
        <v>180</v>
      </c>
      <c r="F22" s="27">
        <v>5</v>
      </c>
      <c r="G22" s="27">
        <v>8</v>
      </c>
      <c r="H22" s="41">
        <f t="shared" si="8"/>
        <v>555</v>
      </c>
      <c r="I22" s="218">
        <f>+H22+H23</f>
        <v>1099</v>
      </c>
      <c r="J22" s="222"/>
    </row>
    <row r="23" spans="1:14" ht="15" customHeight="1" x14ac:dyDescent="0.25">
      <c r="A23" s="55"/>
      <c r="B23" s="30" t="s">
        <v>204</v>
      </c>
      <c r="C23" s="30" t="s">
        <v>129</v>
      </c>
      <c r="D23" s="31">
        <f>83+86+93+89</f>
        <v>351</v>
      </c>
      <c r="E23" s="31">
        <f>57+48+45+43</f>
        <v>193</v>
      </c>
      <c r="F23" s="31">
        <v>5</v>
      </c>
      <c r="G23" s="31">
        <v>11</v>
      </c>
      <c r="H23" s="42">
        <f t="shared" ref="H23:H27" si="9">+D23+E23</f>
        <v>544</v>
      </c>
      <c r="I23" s="219"/>
      <c r="J23" s="223"/>
    </row>
    <row r="24" spans="1:14" ht="15" customHeight="1" x14ac:dyDescent="0.25">
      <c r="A24" s="57" t="s">
        <v>13</v>
      </c>
      <c r="B24" s="48" t="s">
        <v>22</v>
      </c>
      <c r="C24" t="s">
        <v>127</v>
      </c>
      <c r="D24" s="8">
        <f>90+97+85+95</f>
        <v>367</v>
      </c>
      <c r="E24" s="8">
        <f>35+43+60+45</f>
        <v>183</v>
      </c>
      <c r="F24" s="8">
        <v>5</v>
      </c>
      <c r="G24" s="8">
        <v>7</v>
      </c>
      <c r="H24" s="40">
        <f t="shared" si="9"/>
        <v>550</v>
      </c>
      <c r="I24" s="218">
        <f>+H24+H25</f>
        <v>1100</v>
      </c>
      <c r="J24" s="222">
        <f t="shared" ref="J24" si="10">+I24+I26</f>
        <v>2180</v>
      </c>
    </row>
    <row r="25" spans="1:14" ht="15" customHeight="1" x14ac:dyDescent="0.25">
      <c r="A25" s="56"/>
      <c r="B25" s="26" t="s">
        <v>176</v>
      </c>
      <c r="C25" t="s">
        <v>127</v>
      </c>
      <c r="D25" s="8">
        <f>78+91+86+103</f>
        <v>358</v>
      </c>
      <c r="E25" s="8">
        <f>53+38+50+51</f>
        <v>192</v>
      </c>
      <c r="F25" s="8">
        <v>3</v>
      </c>
      <c r="G25" s="8">
        <v>7</v>
      </c>
      <c r="H25" s="40">
        <f t="shared" si="9"/>
        <v>550</v>
      </c>
      <c r="I25" s="225"/>
      <c r="J25" s="222"/>
    </row>
    <row r="26" spans="1:14" ht="15" customHeight="1" x14ac:dyDescent="0.25">
      <c r="A26" s="56"/>
      <c r="B26" t="s">
        <v>16</v>
      </c>
      <c r="C26" s="26" t="s">
        <v>127</v>
      </c>
      <c r="D26" s="8">
        <f>88+76+91+78</f>
        <v>333</v>
      </c>
      <c r="E26" s="8">
        <f>60+45+49+45</f>
        <v>199</v>
      </c>
      <c r="F26" s="8">
        <v>6</v>
      </c>
      <c r="G26" s="8">
        <v>11</v>
      </c>
      <c r="H26" s="41">
        <f t="shared" si="9"/>
        <v>532</v>
      </c>
      <c r="I26" s="218">
        <f t="shared" ref="I26" si="11">+H26+H27</f>
        <v>1080</v>
      </c>
      <c r="J26" s="222"/>
    </row>
    <row r="27" spans="1:14" ht="15" customHeight="1" x14ac:dyDescent="0.25">
      <c r="A27" s="55"/>
      <c r="B27" s="30" t="s">
        <v>99</v>
      </c>
      <c r="C27" s="30" t="s">
        <v>127</v>
      </c>
      <c r="D27" s="31">
        <f>106+81+87+101</f>
        <v>375</v>
      </c>
      <c r="E27" s="31">
        <f>58+43+45+27</f>
        <v>173</v>
      </c>
      <c r="F27" s="31">
        <v>6</v>
      </c>
      <c r="G27" s="31">
        <v>9</v>
      </c>
      <c r="H27" s="42">
        <f t="shared" si="9"/>
        <v>548</v>
      </c>
      <c r="I27" s="219"/>
      <c r="J27" s="223"/>
      <c r="N27" t="s">
        <v>144</v>
      </c>
    </row>
    <row r="28" spans="1:14" ht="15" customHeight="1" x14ac:dyDescent="0.25">
      <c r="A28" s="57" t="s">
        <v>39</v>
      </c>
      <c r="B28" s="33" t="s">
        <v>78</v>
      </c>
      <c r="C28" s="26" t="s">
        <v>128</v>
      </c>
      <c r="D28" s="8">
        <f>88+107+92+94</f>
        <v>381</v>
      </c>
      <c r="E28" s="8">
        <f>36+45+44+45</f>
        <v>170</v>
      </c>
      <c r="F28" s="8">
        <v>6</v>
      </c>
      <c r="G28" s="8">
        <v>10</v>
      </c>
      <c r="H28" s="41">
        <f>+D28+E28</f>
        <v>551</v>
      </c>
      <c r="I28" s="224">
        <f t="shared" ref="I28" si="12">+H28+H29</f>
        <v>1092</v>
      </c>
      <c r="J28" s="221">
        <f t="shared" ref="J28" si="13">+I28+I30</f>
        <v>2172</v>
      </c>
    </row>
    <row r="29" spans="1:14" ht="15" customHeight="1" x14ac:dyDescent="0.25">
      <c r="A29" s="56"/>
      <c r="B29" s="26" t="s">
        <v>79</v>
      </c>
      <c r="C29" s="26" t="s">
        <v>128</v>
      </c>
      <c r="D29" s="8">
        <f>90+89+98+82</f>
        <v>359</v>
      </c>
      <c r="E29" s="8">
        <f>45+51+43+43</f>
        <v>182</v>
      </c>
      <c r="F29" s="8">
        <v>1</v>
      </c>
      <c r="G29" s="8">
        <v>5</v>
      </c>
      <c r="H29" s="41">
        <f>+D29+E29</f>
        <v>541</v>
      </c>
      <c r="I29" s="218"/>
      <c r="J29" s="222"/>
    </row>
    <row r="30" spans="1:14" ht="15" customHeight="1" x14ac:dyDescent="0.25">
      <c r="A30" s="56"/>
      <c r="B30" s="26" t="s">
        <v>56</v>
      </c>
      <c r="C30" s="26" t="s">
        <v>128</v>
      </c>
      <c r="D30" s="8">
        <f>75+94+89+83</f>
        <v>341</v>
      </c>
      <c r="E30" s="8">
        <f>51+61+36+52</f>
        <v>200</v>
      </c>
      <c r="F30" s="8">
        <v>2</v>
      </c>
      <c r="G30" s="8">
        <v>7</v>
      </c>
      <c r="H30" s="41">
        <f>+D30+E30</f>
        <v>541</v>
      </c>
      <c r="I30" s="218">
        <f>+H30+H31</f>
        <v>1080</v>
      </c>
      <c r="J30" s="222"/>
    </row>
    <row r="31" spans="1:14" ht="15" customHeight="1" x14ac:dyDescent="0.25">
      <c r="A31" s="55"/>
      <c r="B31" s="30" t="s">
        <v>36</v>
      </c>
      <c r="C31" s="30" t="s">
        <v>128</v>
      </c>
      <c r="D31" s="31">
        <f>94+76+91+84</f>
        <v>345</v>
      </c>
      <c r="E31" s="31">
        <f>34+36+63+61</f>
        <v>194</v>
      </c>
      <c r="F31" s="31">
        <v>6</v>
      </c>
      <c r="G31" s="31">
        <v>8</v>
      </c>
      <c r="H31" s="42">
        <f>+D31+E31</f>
        <v>539</v>
      </c>
      <c r="I31" s="219"/>
      <c r="J31" s="223"/>
    </row>
    <row r="32" spans="1:14" ht="15" customHeight="1" x14ac:dyDescent="0.25">
      <c r="A32" s="57" t="s">
        <v>40</v>
      </c>
      <c r="B32" s="48" t="s">
        <v>180</v>
      </c>
      <c r="C32" s="48" t="s">
        <v>179</v>
      </c>
      <c r="D32" s="27">
        <f>92+91+91+91</f>
        <v>365</v>
      </c>
      <c r="E32" s="27">
        <f>36+34+50+45</f>
        <v>165</v>
      </c>
      <c r="F32" s="27">
        <v>3</v>
      </c>
      <c r="G32" s="27">
        <v>7</v>
      </c>
      <c r="H32" s="41">
        <f>+D32+E32</f>
        <v>530</v>
      </c>
      <c r="I32" s="218">
        <f>+H32+H33</f>
        <v>1065</v>
      </c>
      <c r="J32" s="221">
        <f t="shared" ref="J32" si="14">+I32+I34</f>
        <v>2164</v>
      </c>
    </row>
    <row r="33" spans="1:10" ht="15" customHeight="1" x14ac:dyDescent="0.25">
      <c r="A33" s="56"/>
      <c r="B33" s="48" t="s">
        <v>313</v>
      </c>
      <c r="C33" s="48" t="s">
        <v>179</v>
      </c>
      <c r="D33" s="27">
        <f>92+90+89+84</f>
        <v>355</v>
      </c>
      <c r="E33" s="28">
        <f>43+45+39+53</f>
        <v>180</v>
      </c>
      <c r="F33" s="28">
        <v>5</v>
      </c>
      <c r="G33" s="28">
        <v>3</v>
      </c>
      <c r="H33" s="41">
        <f>+D33+E33</f>
        <v>535</v>
      </c>
      <c r="I33" s="218"/>
      <c r="J33" s="222"/>
    </row>
    <row r="34" spans="1:10" ht="15" customHeight="1" x14ac:dyDescent="0.25">
      <c r="A34" s="56"/>
      <c r="B34" s="48" t="s">
        <v>314</v>
      </c>
      <c r="C34" s="48" t="s">
        <v>179</v>
      </c>
      <c r="D34" s="27">
        <f>84+102+87+105</f>
        <v>378</v>
      </c>
      <c r="E34" s="27">
        <f>35+45+35+50</f>
        <v>165</v>
      </c>
      <c r="F34" s="27">
        <v>1</v>
      </c>
      <c r="G34" s="27">
        <v>12</v>
      </c>
      <c r="H34" s="41">
        <f>+D34+E34</f>
        <v>543</v>
      </c>
      <c r="I34" s="218">
        <f>+H34+H35</f>
        <v>1099</v>
      </c>
      <c r="J34" s="222"/>
    </row>
    <row r="35" spans="1:10" ht="15" customHeight="1" x14ac:dyDescent="0.25">
      <c r="A35" s="55"/>
      <c r="B35" s="30" t="s">
        <v>315</v>
      </c>
      <c r="C35" s="51" t="s">
        <v>179</v>
      </c>
      <c r="D35" s="31">
        <f>98+85+91+108</f>
        <v>382</v>
      </c>
      <c r="E35" s="31">
        <f>53+35+34+52</f>
        <v>174</v>
      </c>
      <c r="F35" s="31">
        <v>3</v>
      </c>
      <c r="G35" s="31">
        <v>10</v>
      </c>
      <c r="H35" s="42">
        <f>+D35+E35</f>
        <v>556</v>
      </c>
      <c r="I35" s="219"/>
      <c r="J35" s="223"/>
    </row>
    <row r="36" spans="1:10" ht="15" customHeight="1" x14ac:dyDescent="0.25">
      <c r="A36" s="57" t="s">
        <v>41</v>
      </c>
      <c r="B36" s="33" t="s">
        <v>34</v>
      </c>
      <c r="C36" s="58" t="s">
        <v>101</v>
      </c>
      <c r="D36" s="35">
        <f>91+83+94+88</f>
        <v>356</v>
      </c>
      <c r="E36" s="35">
        <f>45+35+45+45</f>
        <v>170</v>
      </c>
      <c r="F36" s="35">
        <v>10</v>
      </c>
      <c r="G36" s="35">
        <v>8</v>
      </c>
      <c r="H36" s="43">
        <f t="shared" ref="H36:H39" si="15">+D36+E36</f>
        <v>526</v>
      </c>
      <c r="I36" s="224">
        <f>+H36+H37</f>
        <v>1097</v>
      </c>
      <c r="J36" s="221">
        <f>+I36+I38</f>
        <v>2135</v>
      </c>
    </row>
    <row r="37" spans="1:10" ht="15" customHeight="1" x14ac:dyDescent="0.25">
      <c r="A37" s="56"/>
      <c r="B37" s="26" t="s">
        <v>35</v>
      </c>
      <c r="C37" s="59" t="s">
        <v>101</v>
      </c>
      <c r="D37" s="8">
        <f>86+111+85+97</f>
        <v>379</v>
      </c>
      <c r="E37" s="8">
        <f>36+61+51+44</f>
        <v>192</v>
      </c>
      <c r="F37" s="8">
        <v>9</v>
      </c>
      <c r="G37" s="8">
        <v>16</v>
      </c>
      <c r="H37" s="41">
        <f t="shared" si="15"/>
        <v>571</v>
      </c>
      <c r="I37" s="218"/>
      <c r="J37" s="222"/>
    </row>
    <row r="38" spans="1:10" ht="15" customHeight="1" x14ac:dyDescent="0.25">
      <c r="A38" s="56"/>
      <c r="B38" s="26" t="s">
        <v>31</v>
      </c>
      <c r="C38" s="59" t="s">
        <v>101</v>
      </c>
      <c r="D38" s="28">
        <f>90+81+93+102</f>
        <v>366</v>
      </c>
      <c r="E38" s="27">
        <f>45+27+43+43</f>
        <v>158</v>
      </c>
      <c r="F38" s="27">
        <v>11</v>
      </c>
      <c r="G38" s="27">
        <v>10</v>
      </c>
      <c r="H38" s="41">
        <f t="shared" si="15"/>
        <v>524</v>
      </c>
      <c r="I38" s="218">
        <f>+H38+H39</f>
        <v>1038</v>
      </c>
      <c r="J38" s="222"/>
    </row>
    <row r="39" spans="1:10" ht="15" customHeight="1" x14ac:dyDescent="0.25">
      <c r="A39" s="55"/>
      <c r="B39" s="30" t="s">
        <v>33</v>
      </c>
      <c r="C39" s="60" t="s">
        <v>101</v>
      </c>
      <c r="D39" s="31">
        <f>85+82+80+83</f>
        <v>330</v>
      </c>
      <c r="E39" s="31">
        <f>44+43+52+45</f>
        <v>184</v>
      </c>
      <c r="F39" s="31">
        <v>5</v>
      </c>
      <c r="G39" s="31">
        <v>2</v>
      </c>
      <c r="H39" s="42">
        <f t="shared" si="15"/>
        <v>514</v>
      </c>
      <c r="I39" s="219"/>
      <c r="J39" s="223"/>
    </row>
    <row r="40" spans="1:10" ht="15" customHeight="1" x14ac:dyDescent="0.25">
      <c r="A40" s="16" t="s">
        <v>42</v>
      </c>
      <c r="B40" s="117" t="s">
        <v>217</v>
      </c>
      <c r="C40" s="26" t="s">
        <v>333</v>
      </c>
      <c r="D40" s="27">
        <f>107+79+88+80</f>
        <v>354</v>
      </c>
      <c r="E40" s="27">
        <f>51+60+51+36</f>
        <v>198</v>
      </c>
      <c r="F40" s="27">
        <v>0</v>
      </c>
      <c r="G40" s="28">
        <v>11</v>
      </c>
      <c r="H40" s="41">
        <f>+D40+E40</f>
        <v>552</v>
      </c>
      <c r="I40" s="232">
        <f>+H40+H41</f>
        <v>1096</v>
      </c>
      <c r="J40" s="222">
        <f>+I40+I42</f>
        <v>2131</v>
      </c>
    </row>
    <row r="41" spans="1:10" ht="15" customHeight="1" x14ac:dyDescent="0.25">
      <c r="B41" s="26" t="s">
        <v>80</v>
      </c>
      <c r="C41" s="26" t="s">
        <v>143</v>
      </c>
      <c r="D41" s="27">
        <f>86+91+94+89</f>
        <v>360</v>
      </c>
      <c r="E41" s="27">
        <f>52+45+43+44</f>
        <v>184</v>
      </c>
      <c r="F41" s="28">
        <v>3</v>
      </c>
      <c r="G41" s="27">
        <v>6</v>
      </c>
      <c r="H41" s="41">
        <f t="shared" ref="H41:H43" si="16">+D41+E41</f>
        <v>544</v>
      </c>
      <c r="I41" s="232"/>
      <c r="J41" s="222"/>
    </row>
    <row r="42" spans="1:10" ht="15" customHeight="1" x14ac:dyDescent="0.25">
      <c r="B42" s="26" t="s">
        <v>183</v>
      </c>
      <c r="C42" s="26" t="s">
        <v>143</v>
      </c>
      <c r="D42" s="27">
        <f>89+89+92+95</f>
        <v>365</v>
      </c>
      <c r="E42" s="27">
        <f>45+35+45+52</f>
        <v>177</v>
      </c>
      <c r="F42" s="27">
        <v>7</v>
      </c>
      <c r="G42" s="27">
        <v>14</v>
      </c>
      <c r="H42" s="41">
        <f t="shared" si="16"/>
        <v>542</v>
      </c>
      <c r="I42" s="232">
        <f>+H42+H43</f>
        <v>1035</v>
      </c>
      <c r="J42" s="222"/>
    </row>
    <row r="43" spans="1:10" ht="15" customHeight="1" x14ac:dyDescent="0.25">
      <c r="A43" s="55"/>
      <c r="B43" s="51" t="s">
        <v>332</v>
      </c>
      <c r="C43" s="30" t="s">
        <v>143</v>
      </c>
      <c r="D43" s="31">
        <f>84+83+87+83</f>
        <v>337</v>
      </c>
      <c r="E43" s="31">
        <f>36+34+54+32</f>
        <v>156</v>
      </c>
      <c r="F43" s="31">
        <v>11</v>
      </c>
      <c r="G43" s="31">
        <v>3</v>
      </c>
      <c r="H43" s="42">
        <f t="shared" si="16"/>
        <v>493</v>
      </c>
      <c r="I43" s="233"/>
      <c r="J43" s="223"/>
    </row>
    <row r="44" spans="1:10" ht="15" customHeight="1" x14ac:dyDescent="0.25">
      <c r="A44" s="56" t="s">
        <v>43</v>
      </c>
      <c r="B44" s="48" t="s">
        <v>88</v>
      </c>
      <c r="C44" s="48" t="s">
        <v>294</v>
      </c>
      <c r="D44" s="8">
        <f>86+93+86+95</f>
        <v>360</v>
      </c>
      <c r="E44" s="8">
        <f>54+59+27+24</f>
        <v>164</v>
      </c>
      <c r="F44" s="8">
        <v>10</v>
      </c>
      <c r="G44" s="8">
        <v>8</v>
      </c>
      <c r="H44" s="41">
        <f>+D44+E44</f>
        <v>524</v>
      </c>
      <c r="I44" s="232">
        <f>+H44+H45</f>
        <v>1073</v>
      </c>
      <c r="J44" s="222">
        <f>+I44+I46</f>
        <v>2119</v>
      </c>
    </row>
    <row r="45" spans="1:10" ht="15" customHeight="1" x14ac:dyDescent="0.25">
      <c r="A45" s="56"/>
      <c r="B45" s="48" t="s">
        <v>87</v>
      </c>
      <c r="C45" s="48" t="s">
        <v>294</v>
      </c>
      <c r="D45" s="8">
        <f>97+92+99+82</f>
        <v>370</v>
      </c>
      <c r="E45" s="8">
        <f>45+44+36+54</f>
        <v>179</v>
      </c>
      <c r="F45" s="8">
        <v>3</v>
      </c>
      <c r="G45" s="8">
        <v>6</v>
      </c>
      <c r="H45" s="41">
        <f t="shared" ref="H45:H47" si="17">+D45+E45</f>
        <v>549</v>
      </c>
      <c r="I45" s="232"/>
      <c r="J45" s="222"/>
    </row>
    <row r="46" spans="1:10" ht="15" customHeight="1" x14ac:dyDescent="0.25">
      <c r="A46" s="56"/>
      <c r="B46" s="48" t="s">
        <v>346</v>
      </c>
      <c r="C46" s="48" t="s">
        <v>294</v>
      </c>
      <c r="D46" s="8">
        <f>67+93+90+87</f>
        <v>337</v>
      </c>
      <c r="E46" s="8">
        <f>44+45+26+34</f>
        <v>149</v>
      </c>
      <c r="F46" s="8">
        <v>8</v>
      </c>
      <c r="G46" s="8">
        <v>6</v>
      </c>
      <c r="H46" s="41">
        <f t="shared" si="17"/>
        <v>486</v>
      </c>
      <c r="I46" s="232">
        <f>+H46+H47</f>
        <v>1046</v>
      </c>
      <c r="J46" s="222"/>
    </row>
    <row r="47" spans="1:10" ht="15" customHeight="1" x14ac:dyDescent="0.25">
      <c r="A47" s="55"/>
      <c r="B47" s="51" t="s">
        <v>232</v>
      </c>
      <c r="C47" s="51" t="s">
        <v>294</v>
      </c>
      <c r="D47" s="31">
        <f>94+91+108+86</f>
        <v>379</v>
      </c>
      <c r="E47" s="31">
        <f>43+44+43+51</f>
        <v>181</v>
      </c>
      <c r="F47" s="31">
        <v>3</v>
      </c>
      <c r="G47" s="31">
        <v>11</v>
      </c>
      <c r="H47" s="42">
        <f t="shared" si="17"/>
        <v>560</v>
      </c>
      <c r="I47" s="233"/>
      <c r="J47" s="223"/>
    </row>
    <row r="48" spans="1:10" ht="15" customHeight="1" x14ac:dyDescent="0.25">
      <c r="A48" s="16" t="s">
        <v>44</v>
      </c>
      <c r="B48" s="48" t="s">
        <v>328</v>
      </c>
      <c r="C48" s="48" t="s">
        <v>327</v>
      </c>
      <c r="D48" s="27">
        <f>88+102+100+92</f>
        <v>382</v>
      </c>
      <c r="E48" s="27">
        <f>44+49+43+50</f>
        <v>186</v>
      </c>
      <c r="F48" s="27">
        <v>6</v>
      </c>
      <c r="G48" s="27">
        <v>9</v>
      </c>
      <c r="H48" s="41">
        <f t="shared" ref="H48:H70" si="18">+D48+E48</f>
        <v>568</v>
      </c>
      <c r="I48" s="218">
        <f t="shared" ref="I48" si="19">+H48+H49</f>
        <v>1038</v>
      </c>
      <c r="J48" s="221">
        <f t="shared" ref="J48" si="20">+I48+I50</f>
        <v>2034</v>
      </c>
    </row>
    <row r="49" spans="1:10" ht="15" customHeight="1" x14ac:dyDescent="0.25">
      <c r="B49" s="48" t="s">
        <v>329</v>
      </c>
      <c r="C49" s="48" t="s">
        <v>327</v>
      </c>
      <c r="D49" s="27">
        <f>88+99+88+84</f>
        <v>359</v>
      </c>
      <c r="E49" s="27">
        <f>31+35+18+27</f>
        <v>111</v>
      </c>
      <c r="F49" s="27">
        <v>18</v>
      </c>
      <c r="G49" s="27">
        <v>7</v>
      </c>
      <c r="H49" s="41">
        <f t="shared" si="18"/>
        <v>470</v>
      </c>
      <c r="I49" s="218"/>
      <c r="J49" s="222"/>
    </row>
    <row r="50" spans="1:10" ht="15" customHeight="1" x14ac:dyDescent="0.25">
      <c r="A50" s="56"/>
      <c r="B50" s="48" t="s">
        <v>330</v>
      </c>
      <c r="C50" s="48" t="s">
        <v>327</v>
      </c>
      <c r="D50" s="27">
        <f>82+94+86+81</f>
        <v>343</v>
      </c>
      <c r="E50" s="27">
        <f>27+36+36+44</f>
        <v>143</v>
      </c>
      <c r="F50" s="27">
        <v>5</v>
      </c>
      <c r="G50" s="27">
        <v>1</v>
      </c>
      <c r="H50" s="41">
        <f t="shared" si="18"/>
        <v>486</v>
      </c>
      <c r="I50" s="218">
        <f t="shared" ref="I50" si="21">+H50+H51</f>
        <v>996</v>
      </c>
      <c r="J50" s="222"/>
    </row>
    <row r="51" spans="1:10" ht="15" customHeight="1" x14ac:dyDescent="0.25">
      <c r="A51" s="55"/>
      <c r="B51" s="51" t="s">
        <v>331</v>
      </c>
      <c r="C51" s="51" t="s">
        <v>327</v>
      </c>
      <c r="D51" s="31">
        <f>86+89+89+88</f>
        <v>352</v>
      </c>
      <c r="E51" s="31">
        <f>43+45+35+35</f>
        <v>158</v>
      </c>
      <c r="F51" s="31">
        <v>11</v>
      </c>
      <c r="G51" s="31">
        <v>10</v>
      </c>
      <c r="H51" s="42">
        <f t="shared" si="18"/>
        <v>510</v>
      </c>
      <c r="I51" s="219"/>
      <c r="J51" s="223"/>
    </row>
    <row r="52" spans="1:10" ht="15" customHeight="1" x14ac:dyDescent="0.25">
      <c r="A52" s="16" t="s">
        <v>45</v>
      </c>
      <c r="B52" s="48" t="s">
        <v>300</v>
      </c>
      <c r="C52" s="48" t="s">
        <v>299</v>
      </c>
      <c r="D52" s="27">
        <f>77+84+93+101</f>
        <v>355</v>
      </c>
      <c r="E52" s="27">
        <f>51+44+51+44</f>
        <v>190</v>
      </c>
      <c r="F52" s="28">
        <v>2</v>
      </c>
      <c r="G52" s="27">
        <v>5</v>
      </c>
      <c r="H52" s="41">
        <f t="shared" si="18"/>
        <v>545</v>
      </c>
      <c r="I52" s="218">
        <f>+H52+H53</f>
        <v>1070</v>
      </c>
      <c r="J52" s="221">
        <f t="shared" ref="J52" si="22">+I52+I54</f>
        <v>1940</v>
      </c>
    </row>
    <row r="53" spans="1:10" ht="15" customHeight="1" x14ac:dyDescent="0.25">
      <c r="B53" s="48" t="s">
        <v>301</v>
      </c>
      <c r="C53" s="48" t="s">
        <v>299</v>
      </c>
      <c r="D53" s="27">
        <f>88+87+88+93</f>
        <v>356</v>
      </c>
      <c r="E53" s="27">
        <f>36+45+53+35</f>
        <v>169</v>
      </c>
      <c r="F53" s="27">
        <v>10</v>
      </c>
      <c r="G53" s="27">
        <v>10</v>
      </c>
      <c r="H53" s="41">
        <f t="shared" si="18"/>
        <v>525</v>
      </c>
      <c r="I53" s="218"/>
      <c r="J53" s="222"/>
    </row>
    <row r="54" spans="1:10" ht="15" customHeight="1" x14ac:dyDescent="0.25">
      <c r="B54" s="48" t="s">
        <v>302</v>
      </c>
      <c r="C54" s="48" t="s">
        <v>299</v>
      </c>
      <c r="D54" s="27">
        <f>75+72+67+77</f>
        <v>291</v>
      </c>
      <c r="E54" s="27">
        <f>42+36+41+27</f>
        <v>146</v>
      </c>
      <c r="F54" s="27">
        <v>18</v>
      </c>
      <c r="G54" s="27">
        <v>8</v>
      </c>
      <c r="H54" s="41">
        <f t="shared" si="18"/>
        <v>437</v>
      </c>
      <c r="I54" s="218">
        <f>+H54+H55</f>
        <v>870</v>
      </c>
      <c r="J54" s="222"/>
    </row>
    <row r="55" spans="1:10" ht="15" customHeight="1" x14ac:dyDescent="0.25">
      <c r="A55" s="55"/>
      <c r="B55" s="51" t="s">
        <v>303</v>
      </c>
      <c r="C55" s="51" t="s">
        <v>299</v>
      </c>
      <c r="D55" s="31">
        <f>83+86+75+78</f>
        <v>322</v>
      </c>
      <c r="E55" s="31">
        <f>26+35+25+25</f>
        <v>111</v>
      </c>
      <c r="F55" s="31">
        <v>18</v>
      </c>
      <c r="G55" s="31">
        <v>5</v>
      </c>
      <c r="H55" s="42">
        <f t="shared" si="18"/>
        <v>433</v>
      </c>
      <c r="I55" s="219"/>
      <c r="J55" s="223"/>
    </row>
    <row r="56" spans="1:10" ht="15" customHeight="1" x14ac:dyDescent="0.25">
      <c r="A56" s="56" t="s">
        <v>46</v>
      </c>
      <c r="B56" s="48" t="s">
        <v>119</v>
      </c>
      <c r="C56" s="48" t="s">
        <v>120</v>
      </c>
      <c r="D56" s="8">
        <f>96+85+82+94</f>
        <v>357</v>
      </c>
      <c r="E56" s="8">
        <f>42+54+26+35</f>
        <v>157</v>
      </c>
      <c r="F56" s="8">
        <v>12</v>
      </c>
      <c r="G56" s="8">
        <v>6</v>
      </c>
      <c r="H56" s="41">
        <f t="shared" si="18"/>
        <v>514</v>
      </c>
      <c r="I56" s="218">
        <f t="shared" ref="I56" si="23">+H56+H57</f>
        <v>996</v>
      </c>
      <c r="J56" s="222">
        <f>+I56+I58</f>
        <v>1613</v>
      </c>
    </row>
    <row r="57" spans="1:10" x14ac:dyDescent="0.25">
      <c r="B57" s="48" t="s">
        <v>121</v>
      </c>
      <c r="C57" s="48" t="s">
        <v>120</v>
      </c>
      <c r="D57" s="8">
        <f>84+88+82+93</f>
        <v>347</v>
      </c>
      <c r="E57" s="8">
        <f>33+27+42+33</f>
        <v>135</v>
      </c>
      <c r="F57" s="8">
        <v>9</v>
      </c>
      <c r="G57" s="8">
        <v>5</v>
      </c>
      <c r="H57" s="41">
        <f t="shared" si="18"/>
        <v>482</v>
      </c>
      <c r="I57" s="218"/>
      <c r="J57" s="222"/>
    </row>
    <row r="58" spans="1:10" x14ac:dyDescent="0.25">
      <c r="B58" s="48" t="s">
        <v>122</v>
      </c>
      <c r="C58" s="48" t="s">
        <v>120</v>
      </c>
      <c r="D58" s="27">
        <v>121</v>
      </c>
      <c r="E58" s="27">
        <v>27</v>
      </c>
      <c r="F58" s="27">
        <v>5</v>
      </c>
      <c r="G58" s="27">
        <v>2</v>
      </c>
      <c r="H58" s="41">
        <f t="shared" si="18"/>
        <v>148</v>
      </c>
      <c r="I58" s="218">
        <f t="shared" ref="I58" si="24">+H58+H59</f>
        <v>617</v>
      </c>
      <c r="J58" s="222"/>
    </row>
    <row r="59" spans="1:10" x14ac:dyDescent="0.25">
      <c r="A59" s="55"/>
      <c r="B59" s="51" t="s">
        <v>123</v>
      </c>
      <c r="C59" s="51" t="s">
        <v>120</v>
      </c>
      <c r="D59" s="31">
        <f>95+68+88+81</f>
        <v>332</v>
      </c>
      <c r="E59" s="31">
        <f>26+36+48+27</f>
        <v>137</v>
      </c>
      <c r="F59" s="31">
        <v>15</v>
      </c>
      <c r="G59" s="31">
        <v>4</v>
      </c>
      <c r="H59" s="42">
        <f t="shared" si="18"/>
        <v>469</v>
      </c>
      <c r="I59" s="219"/>
      <c r="J59" s="223"/>
    </row>
    <row r="60" spans="1:10" x14ac:dyDescent="0.25">
      <c r="B60" s="26" t="s">
        <v>124</v>
      </c>
      <c r="C60" s="26" t="s">
        <v>100</v>
      </c>
      <c r="D60" s="8">
        <f>91+83+80+99</f>
        <v>353</v>
      </c>
      <c r="E60" s="8">
        <f>52+54+54+36</f>
        <v>196</v>
      </c>
      <c r="F60" s="8">
        <v>1</v>
      </c>
      <c r="G60" s="8">
        <v>5</v>
      </c>
      <c r="H60" s="41">
        <f t="shared" si="18"/>
        <v>549</v>
      </c>
      <c r="I60" s="218">
        <f>+H60+H61</f>
        <v>909</v>
      </c>
      <c r="J60" s="222"/>
    </row>
    <row r="61" spans="1:10" x14ac:dyDescent="0.25">
      <c r="B61" t="s">
        <v>34</v>
      </c>
      <c r="C61" s="26" t="s">
        <v>100</v>
      </c>
      <c r="D61" s="8">
        <f>69+72+65+61</f>
        <v>267</v>
      </c>
      <c r="E61" s="8">
        <f>25+35+16+17</f>
        <v>93</v>
      </c>
      <c r="F61" s="8">
        <v>28</v>
      </c>
      <c r="G61" s="8">
        <v>1</v>
      </c>
      <c r="H61" s="41">
        <f t="shared" si="18"/>
        <v>360</v>
      </c>
      <c r="I61" s="218"/>
      <c r="J61" s="222"/>
    </row>
    <row r="62" spans="1:10" x14ac:dyDescent="0.25">
      <c r="B62" s="26" t="s">
        <v>280</v>
      </c>
      <c r="C62" s="48" t="s">
        <v>317</v>
      </c>
      <c r="D62" s="27">
        <f>98+89+78+97</f>
        <v>362</v>
      </c>
      <c r="E62" s="27">
        <f>52+41+43+36</f>
        <v>172</v>
      </c>
      <c r="F62" s="27">
        <v>1</v>
      </c>
      <c r="G62" s="27">
        <v>8</v>
      </c>
      <c r="H62" s="41">
        <f t="shared" si="18"/>
        <v>534</v>
      </c>
      <c r="I62" s="218">
        <f>+H62+H63</f>
        <v>1056</v>
      </c>
      <c r="J62" s="222"/>
    </row>
    <row r="63" spans="1:10" ht="14.1" customHeight="1" x14ac:dyDescent="0.25">
      <c r="B63" s="26" t="s">
        <v>281</v>
      </c>
      <c r="C63" s="26" t="s">
        <v>317</v>
      </c>
      <c r="D63" s="27">
        <f>98+91+86+89</f>
        <v>364</v>
      </c>
      <c r="E63" s="27">
        <f>36+38+41+43</f>
        <v>158</v>
      </c>
      <c r="F63" s="27">
        <v>10</v>
      </c>
      <c r="G63" s="27">
        <v>9</v>
      </c>
      <c r="H63" s="41">
        <f t="shared" si="18"/>
        <v>522</v>
      </c>
      <c r="I63" s="218"/>
      <c r="J63" s="222"/>
    </row>
    <row r="64" spans="1:10" ht="14.1" customHeight="1" x14ac:dyDescent="0.25">
      <c r="B64" s="26" t="s">
        <v>78</v>
      </c>
      <c r="C64" s="26" t="s">
        <v>128</v>
      </c>
      <c r="D64" s="27">
        <f>82+93+99+94</f>
        <v>368</v>
      </c>
      <c r="E64" s="27">
        <f>44+51+44+60</f>
        <v>199</v>
      </c>
      <c r="F64" s="27">
        <v>2</v>
      </c>
      <c r="G64" s="27">
        <v>8</v>
      </c>
      <c r="H64" s="41">
        <f t="shared" ref="H64:H67" si="25">+D64+E64</f>
        <v>567</v>
      </c>
      <c r="I64" s="215"/>
      <c r="J64" s="216"/>
    </row>
    <row r="65" spans="2:10" ht="14.1" customHeight="1" x14ac:dyDescent="0.25">
      <c r="B65" s="26" t="s">
        <v>79</v>
      </c>
      <c r="C65" s="26" t="s">
        <v>128</v>
      </c>
      <c r="D65" s="27">
        <f>89+83+91+104</f>
        <v>367</v>
      </c>
      <c r="E65" s="27">
        <f>45+34+27+33</f>
        <v>139</v>
      </c>
      <c r="F65" s="27">
        <v>7</v>
      </c>
      <c r="G65" s="27">
        <v>6</v>
      </c>
      <c r="H65" s="41">
        <f t="shared" si="25"/>
        <v>506</v>
      </c>
      <c r="I65" s="215"/>
      <c r="J65" s="216"/>
    </row>
    <row r="66" spans="2:10" ht="14.1" customHeight="1" x14ac:dyDescent="0.25">
      <c r="B66" s="26" t="s">
        <v>56</v>
      </c>
      <c r="C66" s="26" t="s">
        <v>128</v>
      </c>
      <c r="D66" s="27">
        <f>90+78+89+85</f>
        <v>342</v>
      </c>
      <c r="E66" s="27">
        <f>35+38+52+60</f>
        <v>185</v>
      </c>
      <c r="F66" s="27">
        <v>6</v>
      </c>
      <c r="G66" s="27">
        <v>10</v>
      </c>
      <c r="H66" s="41">
        <f t="shared" si="25"/>
        <v>527</v>
      </c>
      <c r="I66" s="215"/>
      <c r="J66" s="216"/>
    </row>
    <row r="67" spans="2:10" ht="14.1" customHeight="1" x14ac:dyDescent="0.25">
      <c r="B67" s="26" t="s">
        <v>36</v>
      </c>
      <c r="C67" s="26" t="s">
        <v>128</v>
      </c>
      <c r="D67" s="27">
        <f>85+83+93+89</f>
        <v>350</v>
      </c>
      <c r="E67" s="27">
        <f>36+61+43+53</f>
        <v>193</v>
      </c>
      <c r="F67" s="27">
        <v>2</v>
      </c>
      <c r="G67" s="27">
        <v>7</v>
      </c>
      <c r="H67" s="41">
        <f t="shared" si="25"/>
        <v>543</v>
      </c>
      <c r="I67" s="215"/>
      <c r="J67" s="216"/>
    </row>
    <row r="68" spans="2:10" x14ac:dyDescent="0.25">
      <c r="B68" s="26" t="s">
        <v>33</v>
      </c>
      <c r="C68" s="59" t="s">
        <v>101</v>
      </c>
      <c r="D68" s="27">
        <f>92+103+92+88</f>
        <v>375</v>
      </c>
      <c r="E68" s="27">
        <f>42+44+25+32</f>
        <v>143</v>
      </c>
      <c r="F68" s="27">
        <v>11</v>
      </c>
      <c r="G68" s="27">
        <v>11</v>
      </c>
      <c r="H68" s="40">
        <f t="shared" si="18"/>
        <v>518</v>
      </c>
      <c r="J68" s="26"/>
    </row>
    <row r="69" spans="2:10" x14ac:dyDescent="0.25">
      <c r="B69" s="48" t="s">
        <v>199</v>
      </c>
      <c r="C69" s="48" t="s">
        <v>219</v>
      </c>
      <c r="D69" s="8">
        <f>99+77+82+70</f>
        <v>328</v>
      </c>
      <c r="E69" s="8">
        <f>36+36+41+26</f>
        <v>139</v>
      </c>
      <c r="F69" s="8">
        <v>12</v>
      </c>
      <c r="G69" s="8">
        <v>4</v>
      </c>
      <c r="H69" s="40">
        <f t="shared" si="18"/>
        <v>467</v>
      </c>
      <c r="J69" s="26"/>
    </row>
    <row r="70" spans="2:10" x14ac:dyDescent="0.25">
      <c r="B70" s="48" t="s">
        <v>318</v>
      </c>
      <c r="C70" s="48" t="s">
        <v>317</v>
      </c>
      <c r="D70" s="8">
        <f>98+76+89+89</f>
        <v>352</v>
      </c>
      <c r="E70" s="8">
        <f>38+54+63+35</f>
        <v>190</v>
      </c>
      <c r="F70" s="8">
        <v>5</v>
      </c>
      <c r="G70" s="8">
        <v>10</v>
      </c>
      <c r="H70" s="41">
        <f t="shared" si="18"/>
        <v>542</v>
      </c>
    </row>
    <row r="72" spans="2:10" ht="15" x14ac:dyDescent="0.25">
      <c r="C72" s="91" t="s">
        <v>98</v>
      </c>
      <c r="D72" s="37">
        <f>AVERAGE(D4:D70)</f>
        <v>354.91044776119401</v>
      </c>
      <c r="E72" s="37">
        <f t="shared" ref="E72:H72" si="26">AVERAGE(E4:E70)</f>
        <v>173.01492537313433</v>
      </c>
      <c r="F72" s="38">
        <f t="shared" si="26"/>
        <v>6.2835820895522385</v>
      </c>
      <c r="G72" s="38">
        <f t="shared" si="26"/>
        <v>8.0447761194029859</v>
      </c>
      <c r="H72" s="37">
        <f t="shared" si="26"/>
        <v>527.92537313432831</v>
      </c>
    </row>
    <row r="75" spans="2:10" x14ac:dyDescent="0.25">
      <c r="I75" s="218"/>
      <c r="J75" s="222"/>
    </row>
    <row r="76" spans="2:10" x14ac:dyDescent="0.25">
      <c r="I76" s="218"/>
      <c r="J76" s="222"/>
    </row>
    <row r="77" spans="2:10" x14ac:dyDescent="0.25">
      <c r="I77" s="218"/>
      <c r="J77" s="222"/>
    </row>
    <row r="78" spans="2:10" x14ac:dyDescent="0.25">
      <c r="I78" s="218"/>
      <c r="J78" s="222"/>
    </row>
  </sheetData>
  <mergeCells count="48">
    <mergeCell ref="I75:I76"/>
    <mergeCell ref="J75:J78"/>
    <mergeCell ref="I77:I78"/>
    <mergeCell ref="I52:I53"/>
    <mergeCell ref="I16:I17"/>
    <mergeCell ref="J40:J43"/>
    <mergeCell ref="J28:J31"/>
    <mergeCell ref="J52:J55"/>
    <mergeCell ref="I30:I31"/>
    <mergeCell ref="I28:I29"/>
    <mergeCell ref="J24:J27"/>
    <mergeCell ref="I24:I25"/>
    <mergeCell ref="I32:I33"/>
    <mergeCell ref="J36:J39"/>
    <mergeCell ref="I54:I55"/>
    <mergeCell ref="J56:J59"/>
    <mergeCell ref="I56:I57"/>
    <mergeCell ref="I58:I59"/>
    <mergeCell ref="J60:J63"/>
    <mergeCell ref="I60:I61"/>
    <mergeCell ref="I62:I63"/>
    <mergeCell ref="I4:I5"/>
    <mergeCell ref="J4:J7"/>
    <mergeCell ref="I6:I7"/>
    <mergeCell ref="I34:I35"/>
    <mergeCell ref="J32:J35"/>
    <mergeCell ref="I8:I9"/>
    <mergeCell ref="J8:J11"/>
    <mergeCell ref="I10:I11"/>
    <mergeCell ref="I22:I23"/>
    <mergeCell ref="I20:I21"/>
    <mergeCell ref="J20:J23"/>
    <mergeCell ref="I12:I13"/>
    <mergeCell ref="J12:J15"/>
    <mergeCell ref="I14:I15"/>
    <mergeCell ref="J16:J19"/>
    <mergeCell ref="I18:I19"/>
    <mergeCell ref="I38:I39"/>
    <mergeCell ref="I36:I37"/>
    <mergeCell ref="I26:I27"/>
    <mergeCell ref="I48:I49"/>
    <mergeCell ref="J48:J51"/>
    <mergeCell ref="I50:I51"/>
    <mergeCell ref="I44:I45"/>
    <mergeCell ref="J44:J47"/>
    <mergeCell ref="I46:I47"/>
    <mergeCell ref="I40:I41"/>
    <mergeCell ref="I42:I43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78"/>
  <sheetViews>
    <sheetView topLeftCell="A37" zoomScaleNormal="100" workbookViewId="0">
      <selection activeCell="M34" sqref="M34"/>
    </sheetView>
  </sheetViews>
  <sheetFormatPr defaultRowHeight="18.75" x14ac:dyDescent="0.3"/>
  <cols>
    <col min="1" max="1" width="3" style="23" customWidth="1"/>
    <col min="2" max="2" width="19.7109375" customWidth="1"/>
    <col min="3" max="3" width="17.85546875" customWidth="1"/>
    <col min="4" max="4" width="5.5703125" style="8" customWidth="1"/>
    <col min="5" max="5" width="7" style="8" customWidth="1"/>
    <col min="6" max="6" width="3.7109375" style="8" customWidth="1"/>
    <col min="7" max="7" width="5.28515625" style="8" customWidth="1"/>
    <col min="8" max="8" width="5.7109375" customWidth="1"/>
    <col min="9" max="9" width="7.7109375" customWidth="1"/>
    <col min="10" max="10" width="6.85546875" style="63" customWidth="1"/>
    <col min="11" max="11" width="3.42578125" customWidth="1"/>
    <col min="12" max="12" width="4" customWidth="1"/>
  </cols>
  <sheetData>
    <row r="1" spans="1:12" x14ac:dyDescent="0.3">
      <c r="A1" s="16"/>
      <c r="B1" s="5" t="s">
        <v>298</v>
      </c>
      <c r="E1" s="9" t="s">
        <v>14</v>
      </c>
      <c r="F1" s="9"/>
      <c r="G1" s="7"/>
      <c r="H1" s="6" t="s">
        <v>8</v>
      </c>
    </row>
    <row r="2" spans="1:12" ht="6" customHeight="1" x14ac:dyDescent="0.3">
      <c r="A2" s="16"/>
    </row>
    <row r="3" spans="1:12" x14ac:dyDescent="0.3">
      <c r="A3" s="55"/>
      <c r="B3" s="53" t="s">
        <v>1</v>
      </c>
      <c r="C3" s="53" t="s">
        <v>2</v>
      </c>
      <c r="D3" s="53" t="s">
        <v>4</v>
      </c>
      <c r="E3" s="53" t="s">
        <v>5</v>
      </c>
      <c r="F3" s="53">
        <v>9</v>
      </c>
      <c r="G3" s="53" t="s">
        <v>6</v>
      </c>
      <c r="H3" s="30"/>
      <c r="I3" s="30"/>
    </row>
    <row r="4" spans="1:12" ht="15" x14ac:dyDescent="0.25">
      <c r="A4" s="56" t="s">
        <v>0</v>
      </c>
      <c r="B4" s="33" t="s">
        <v>306</v>
      </c>
      <c r="C4" s="33" t="s">
        <v>305</v>
      </c>
      <c r="D4" s="35">
        <f>83+81+78+84</f>
        <v>326</v>
      </c>
      <c r="E4" s="35">
        <f>52+43+36+54</f>
        <v>185</v>
      </c>
      <c r="F4" s="35">
        <v>9</v>
      </c>
      <c r="G4" s="35">
        <v>7</v>
      </c>
      <c r="H4" s="33">
        <f t="shared" ref="H4:H15" si="0">+D4+E4</f>
        <v>511</v>
      </c>
      <c r="I4" s="224">
        <f t="shared" ref="I4" si="1">+H4+H5</f>
        <v>1076</v>
      </c>
      <c r="J4" s="221">
        <f>+I4+I6</f>
        <v>2154</v>
      </c>
    </row>
    <row r="5" spans="1:12" ht="15" x14ac:dyDescent="0.25">
      <c r="A5" s="56"/>
      <c r="B5" s="48" t="s">
        <v>307</v>
      </c>
      <c r="C5" s="26" t="s">
        <v>305</v>
      </c>
      <c r="D5" s="27">
        <f>93+95+82+89</f>
        <v>359</v>
      </c>
      <c r="E5" s="27">
        <f>80+42+50+34</f>
        <v>206</v>
      </c>
      <c r="F5" s="27">
        <v>9</v>
      </c>
      <c r="G5" s="27">
        <v>6</v>
      </c>
      <c r="H5" s="26">
        <f t="shared" si="0"/>
        <v>565</v>
      </c>
      <c r="I5" s="218"/>
      <c r="J5" s="222"/>
    </row>
    <row r="6" spans="1:12" ht="15" x14ac:dyDescent="0.25">
      <c r="A6" s="56"/>
      <c r="B6" s="26" t="s">
        <v>308</v>
      </c>
      <c r="C6" s="26" t="s">
        <v>305</v>
      </c>
      <c r="D6" s="27">
        <f>89+90+98+107</f>
        <v>384</v>
      </c>
      <c r="E6" s="27">
        <f>52+44+52+54</f>
        <v>202</v>
      </c>
      <c r="F6" s="27">
        <v>13</v>
      </c>
      <c r="G6" s="27">
        <v>7</v>
      </c>
      <c r="H6" s="26">
        <f t="shared" si="0"/>
        <v>586</v>
      </c>
      <c r="I6" s="218">
        <f t="shared" ref="I6" si="2">+H6+H7</f>
        <v>1078</v>
      </c>
      <c r="J6" s="222"/>
    </row>
    <row r="7" spans="1:12" ht="15" x14ac:dyDescent="0.25">
      <c r="A7" s="55"/>
      <c r="B7" s="30" t="s">
        <v>309</v>
      </c>
      <c r="C7" s="30" t="s">
        <v>305</v>
      </c>
      <c r="D7" s="31">
        <f>84+86+101+83</f>
        <v>354</v>
      </c>
      <c r="E7" s="31">
        <f>35+35+26+42</f>
        <v>138</v>
      </c>
      <c r="F7" s="31">
        <v>6</v>
      </c>
      <c r="G7" s="31">
        <v>11</v>
      </c>
      <c r="H7" s="30">
        <f t="shared" si="0"/>
        <v>492</v>
      </c>
      <c r="I7" s="219"/>
      <c r="J7" s="223"/>
    </row>
    <row r="8" spans="1:12" ht="15" customHeight="1" x14ac:dyDescent="0.25">
      <c r="A8" s="57" t="s">
        <v>9</v>
      </c>
      <c r="B8" s="33" t="s">
        <v>342</v>
      </c>
      <c r="C8" s="33" t="s">
        <v>341</v>
      </c>
      <c r="D8" s="8">
        <f>80+93+89+90</f>
        <v>352</v>
      </c>
      <c r="E8" s="8">
        <f>42+51+36+18</f>
        <v>147</v>
      </c>
      <c r="F8" s="8">
        <v>2</v>
      </c>
      <c r="G8" s="8">
        <v>12</v>
      </c>
      <c r="H8" s="33">
        <f t="shared" si="0"/>
        <v>499</v>
      </c>
      <c r="I8" s="224">
        <f t="shared" ref="I8" si="3">+H8+H9</f>
        <v>1028</v>
      </c>
      <c r="J8" s="221">
        <f>+I8+I10</f>
        <v>2045</v>
      </c>
    </row>
    <row r="9" spans="1:12" ht="15" customHeight="1" x14ac:dyDescent="0.25">
      <c r="A9" s="56"/>
      <c r="B9" s="48" t="s">
        <v>343</v>
      </c>
      <c r="C9" s="48" t="s">
        <v>341</v>
      </c>
      <c r="D9" s="8">
        <f>86+86+87+86</f>
        <v>345</v>
      </c>
      <c r="E9" s="8">
        <f>43+52+44+45</f>
        <v>184</v>
      </c>
      <c r="F9" s="8">
        <v>3</v>
      </c>
      <c r="G9" s="8">
        <v>5</v>
      </c>
      <c r="H9" s="26">
        <f t="shared" si="0"/>
        <v>529</v>
      </c>
      <c r="I9" s="218"/>
      <c r="J9" s="222"/>
      <c r="L9" s="50"/>
    </row>
    <row r="10" spans="1:12" ht="15" customHeight="1" x14ac:dyDescent="0.25">
      <c r="A10" s="56"/>
      <c r="B10" s="48" t="s">
        <v>344</v>
      </c>
      <c r="C10" s="48" t="s">
        <v>341</v>
      </c>
      <c r="D10" s="8">
        <f>90+85+99+79</f>
        <v>353</v>
      </c>
      <c r="E10" s="8">
        <f>27+26+32+43</f>
        <v>128</v>
      </c>
      <c r="F10" s="8">
        <v>7</v>
      </c>
      <c r="G10" s="8">
        <v>8</v>
      </c>
      <c r="H10" s="26">
        <f t="shared" si="0"/>
        <v>481</v>
      </c>
      <c r="I10" s="218">
        <f t="shared" ref="I10" si="4">+H10+H11</f>
        <v>1017</v>
      </c>
      <c r="J10" s="222"/>
    </row>
    <row r="11" spans="1:12" ht="15" customHeight="1" x14ac:dyDescent="0.25">
      <c r="A11" s="55"/>
      <c r="B11" s="30" t="s">
        <v>345</v>
      </c>
      <c r="C11" s="30" t="s">
        <v>341</v>
      </c>
      <c r="D11" s="31">
        <f>95+94+86+72</f>
        <v>347</v>
      </c>
      <c r="E11" s="31">
        <f>36+57+53+43</f>
        <v>189</v>
      </c>
      <c r="F11" s="31">
        <v>8</v>
      </c>
      <c r="G11" s="31">
        <v>7</v>
      </c>
      <c r="H11" s="30">
        <f t="shared" si="0"/>
        <v>536</v>
      </c>
      <c r="I11" s="219"/>
      <c r="J11" s="223"/>
    </row>
    <row r="12" spans="1:12" ht="15" x14ac:dyDescent="0.25">
      <c r="A12" s="57" t="s">
        <v>10</v>
      </c>
      <c r="B12" s="48" t="s">
        <v>250</v>
      </c>
      <c r="C12" s="33" t="s">
        <v>319</v>
      </c>
      <c r="D12" s="8">
        <f>71+82+90+81</f>
        <v>324</v>
      </c>
      <c r="E12" s="8">
        <f>49+36+24+24</f>
        <v>133</v>
      </c>
      <c r="F12" s="8">
        <v>6</v>
      </c>
      <c r="G12" s="8">
        <v>16</v>
      </c>
      <c r="H12" s="33">
        <f t="shared" si="0"/>
        <v>457</v>
      </c>
      <c r="I12" s="224">
        <f t="shared" ref="I12" si="5">+H12+H13</f>
        <v>960</v>
      </c>
      <c r="J12" s="221">
        <f>+I12+I14</f>
        <v>2023</v>
      </c>
    </row>
    <row r="13" spans="1:12" ht="15" x14ac:dyDescent="0.25">
      <c r="A13" s="56"/>
      <c r="B13" s="48" t="s">
        <v>251</v>
      </c>
      <c r="C13" s="26" t="s">
        <v>319</v>
      </c>
      <c r="D13" s="8">
        <f>90+86+90+84</f>
        <v>350</v>
      </c>
      <c r="E13" s="8">
        <f>26+43+40+44</f>
        <v>153</v>
      </c>
      <c r="F13" s="8">
        <v>6</v>
      </c>
      <c r="G13" s="8">
        <v>7</v>
      </c>
      <c r="H13" s="26">
        <f t="shared" si="0"/>
        <v>503</v>
      </c>
      <c r="I13" s="218"/>
      <c r="J13" s="222"/>
      <c r="L13" s="50"/>
    </row>
    <row r="14" spans="1:12" ht="15" x14ac:dyDescent="0.25">
      <c r="A14" s="56"/>
      <c r="B14" s="48" t="s">
        <v>252</v>
      </c>
      <c r="C14" s="26" t="s">
        <v>319</v>
      </c>
      <c r="D14" s="8">
        <f>77+75+92+96</f>
        <v>340</v>
      </c>
      <c r="E14" s="8">
        <f>58+41+53+35</f>
        <v>187</v>
      </c>
      <c r="F14" s="8">
        <v>4</v>
      </c>
      <c r="G14" s="8">
        <v>3</v>
      </c>
      <c r="H14" s="26">
        <f t="shared" si="0"/>
        <v>527</v>
      </c>
      <c r="I14" s="218">
        <f t="shared" ref="I14" si="6">+H14+H15</f>
        <v>1063</v>
      </c>
      <c r="J14" s="222"/>
    </row>
    <row r="15" spans="1:12" ht="15" x14ac:dyDescent="0.25">
      <c r="A15" s="55"/>
      <c r="B15" s="51" t="s">
        <v>320</v>
      </c>
      <c r="C15" s="30" t="s">
        <v>319</v>
      </c>
      <c r="D15" s="31">
        <f>107+94+87+83</f>
        <v>371</v>
      </c>
      <c r="E15" s="31">
        <f>51+35+35+44</f>
        <v>165</v>
      </c>
      <c r="F15" s="31">
        <v>8</v>
      </c>
      <c r="G15" s="31">
        <v>8</v>
      </c>
      <c r="H15" s="30">
        <f t="shared" si="0"/>
        <v>536</v>
      </c>
      <c r="I15" s="219"/>
      <c r="J15" s="223"/>
    </row>
    <row r="16" spans="1:12" ht="15" customHeight="1" x14ac:dyDescent="0.25">
      <c r="A16" s="57" t="s">
        <v>11</v>
      </c>
      <c r="B16" s="26" t="s">
        <v>135</v>
      </c>
      <c r="C16" s="48" t="s">
        <v>131</v>
      </c>
      <c r="D16" s="27">
        <f>87+85+93+95</f>
        <v>360</v>
      </c>
      <c r="E16" s="27">
        <f>35+45+43+54</f>
        <v>177</v>
      </c>
      <c r="F16" s="27">
        <v>4</v>
      </c>
      <c r="G16" s="27">
        <v>2</v>
      </c>
      <c r="H16" s="26">
        <f t="shared" ref="H16:H19" si="7">+D16+E16</f>
        <v>537</v>
      </c>
      <c r="I16" s="218">
        <f t="shared" ref="I16" si="8">+H16+H17</f>
        <v>995</v>
      </c>
      <c r="J16" s="221">
        <f>+I16+I18</f>
        <v>1995</v>
      </c>
    </row>
    <row r="17" spans="1:11" ht="15" customHeight="1" x14ac:dyDescent="0.25">
      <c r="A17" s="56"/>
      <c r="B17" s="48" t="s">
        <v>132</v>
      </c>
      <c r="C17" s="48" t="s">
        <v>131</v>
      </c>
      <c r="D17" s="8">
        <f>85+82+74+82</f>
        <v>323</v>
      </c>
      <c r="E17" s="19">
        <f>36+27+27+45</f>
        <v>135</v>
      </c>
      <c r="F17" s="8">
        <v>6</v>
      </c>
      <c r="G17" s="19">
        <v>16</v>
      </c>
      <c r="H17" s="26">
        <f t="shared" si="7"/>
        <v>458</v>
      </c>
      <c r="I17" s="218"/>
      <c r="J17" s="222"/>
    </row>
    <row r="18" spans="1:11" ht="15" customHeight="1" x14ac:dyDescent="0.25">
      <c r="A18" s="56"/>
      <c r="B18" s="48" t="s">
        <v>136</v>
      </c>
      <c r="C18" s="48" t="s">
        <v>131</v>
      </c>
      <c r="D18" s="8">
        <f>94+85+94+77</f>
        <v>350</v>
      </c>
      <c r="E18" s="8">
        <f>44+44+44+27</f>
        <v>159</v>
      </c>
      <c r="F18" s="8">
        <v>4</v>
      </c>
      <c r="G18" s="8">
        <v>13</v>
      </c>
      <c r="H18" s="26">
        <f t="shared" si="7"/>
        <v>509</v>
      </c>
      <c r="I18" s="218">
        <f t="shared" ref="I18" si="9">+H18+H19</f>
        <v>1000</v>
      </c>
      <c r="J18" s="222"/>
    </row>
    <row r="19" spans="1:11" ht="15" customHeight="1" x14ac:dyDescent="0.25">
      <c r="A19" s="55"/>
      <c r="B19" s="30" t="s">
        <v>137</v>
      </c>
      <c r="C19" s="51" t="s">
        <v>131</v>
      </c>
      <c r="D19" s="31">
        <f>87+92+83+87</f>
        <v>349</v>
      </c>
      <c r="E19" s="31">
        <f>25+36+36+45</f>
        <v>142</v>
      </c>
      <c r="F19" s="31">
        <v>2</v>
      </c>
      <c r="G19" s="31">
        <v>14</v>
      </c>
      <c r="H19" s="30">
        <f t="shared" si="7"/>
        <v>491</v>
      </c>
      <c r="I19" s="219"/>
      <c r="J19" s="223"/>
    </row>
    <row r="20" spans="1:11" ht="15" customHeight="1" x14ac:dyDescent="0.25">
      <c r="A20" s="57" t="s">
        <v>12</v>
      </c>
      <c r="B20" s="26" t="s">
        <v>20</v>
      </c>
      <c r="C20" s="26" t="s">
        <v>18</v>
      </c>
      <c r="D20" s="27">
        <f>88+88+94+89</f>
        <v>359</v>
      </c>
      <c r="E20" s="28">
        <f>42+32+52+27</f>
        <v>153</v>
      </c>
      <c r="F20" s="27">
        <v>4</v>
      </c>
      <c r="G20" s="28">
        <v>11</v>
      </c>
      <c r="H20" s="26">
        <f t="shared" ref="H20:H27" si="10">+D20+E20</f>
        <v>512</v>
      </c>
      <c r="I20" s="218">
        <f>+H20+H21</f>
        <v>1035</v>
      </c>
      <c r="J20" s="222">
        <f>+I20+I22</f>
        <v>1983</v>
      </c>
    </row>
    <row r="21" spans="1:11" ht="15" customHeight="1" x14ac:dyDescent="0.25">
      <c r="A21" s="56"/>
      <c r="B21" s="26" t="s">
        <v>23</v>
      </c>
      <c r="C21" s="26" t="s">
        <v>18</v>
      </c>
      <c r="D21" s="27">
        <f>96+92+87+84</f>
        <v>359</v>
      </c>
      <c r="E21" s="27">
        <f>43+27+60+34</f>
        <v>164</v>
      </c>
      <c r="F21" s="28">
        <v>6</v>
      </c>
      <c r="G21" s="27">
        <v>6</v>
      </c>
      <c r="H21" s="26">
        <f t="shared" si="10"/>
        <v>523</v>
      </c>
      <c r="I21" s="218"/>
      <c r="J21" s="222"/>
      <c r="K21" s="50">
        <f>+E20+E21+E22+E23</f>
        <v>615</v>
      </c>
    </row>
    <row r="22" spans="1:11" ht="15" customHeight="1" x14ac:dyDescent="0.25">
      <c r="A22" s="56"/>
      <c r="B22" s="48" t="s">
        <v>17</v>
      </c>
      <c r="C22" s="26" t="s">
        <v>18</v>
      </c>
      <c r="D22" s="27">
        <f>89+83+70+77</f>
        <v>319</v>
      </c>
      <c r="E22" s="27">
        <f>45+25+36+41</f>
        <v>147</v>
      </c>
      <c r="F22" s="27">
        <v>7</v>
      </c>
      <c r="G22" s="27">
        <v>20</v>
      </c>
      <c r="H22" s="26">
        <f t="shared" si="10"/>
        <v>466</v>
      </c>
      <c r="I22" s="218">
        <f>+H22+H23</f>
        <v>948</v>
      </c>
      <c r="J22" s="222"/>
    </row>
    <row r="23" spans="1:11" ht="15" customHeight="1" x14ac:dyDescent="0.25">
      <c r="A23" s="55"/>
      <c r="B23" s="48" t="s">
        <v>21</v>
      </c>
      <c r="C23" s="30" t="s">
        <v>18</v>
      </c>
      <c r="D23" s="31">
        <f>78+81+93+79</f>
        <v>331</v>
      </c>
      <c r="E23" s="31">
        <f>44+45+36+26</f>
        <v>151</v>
      </c>
      <c r="F23" s="31">
        <v>5</v>
      </c>
      <c r="G23" s="31">
        <v>7</v>
      </c>
      <c r="H23" s="30">
        <f t="shared" si="10"/>
        <v>482</v>
      </c>
      <c r="I23" s="219"/>
      <c r="J23" s="223"/>
    </row>
    <row r="24" spans="1:11" ht="15" customHeight="1" x14ac:dyDescent="0.25">
      <c r="A24" s="57" t="s">
        <v>13</v>
      </c>
      <c r="B24" s="48" t="s">
        <v>354</v>
      </c>
      <c r="C24" s="33" t="s">
        <v>265</v>
      </c>
      <c r="D24" s="8">
        <f>86+102+84+82</f>
        <v>354</v>
      </c>
      <c r="E24" s="8">
        <f>57+34+36+42</f>
        <v>169</v>
      </c>
      <c r="F24" s="8">
        <v>10</v>
      </c>
      <c r="G24" s="8">
        <v>12</v>
      </c>
      <c r="H24" s="26">
        <f t="shared" ref="H24:H27" si="11">+D24+E24</f>
        <v>523</v>
      </c>
      <c r="I24" s="218">
        <f>+H24+H25</f>
        <v>1037</v>
      </c>
      <c r="J24" s="221">
        <f>+I24+I26</f>
        <v>1983</v>
      </c>
    </row>
    <row r="25" spans="1:11" ht="15" customHeight="1" x14ac:dyDescent="0.25">
      <c r="A25" s="56"/>
      <c r="B25" s="48" t="s">
        <v>117</v>
      </c>
      <c r="C25" s="26" t="s">
        <v>265</v>
      </c>
      <c r="D25" s="8">
        <f>81+89+98+82</f>
        <v>350</v>
      </c>
      <c r="E25" s="8">
        <f>42+43+53+26</f>
        <v>164</v>
      </c>
      <c r="F25" s="8">
        <v>4</v>
      </c>
      <c r="G25" s="8">
        <v>6</v>
      </c>
      <c r="H25" s="26">
        <f t="shared" si="11"/>
        <v>514</v>
      </c>
      <c r="I25" s="218"/>
      <c r="J25" s="222"/>
      <c r="K25" s="50">
        <f>+E24+E25+E26+E27</f>
        <v>614</v>
      </c>
    </row>
    <row r="26" spans="1:11" ht="15" customHeight="1" x14ac:dyDescent="0.25">
      <c r="A26" s="56"/>
      <c r="B26" s="48" t="s">
        <v>152</v>
      </c>
      <c r="C26" s="26" t="s">
        <v>265</v>
      </c>
      <c r="D26" s="8">
        <f>83+81+83+100</f>
        <v>347</v>
      </c>
      <c r="E26" s="8">
        <f>33+24+35+41</f>
        <v>133</v>
      </c>
      <c r="F26" s="8">
        <v>9</v>
      </c>
      <c r="G26" s="8">
        <v>14</v>
      </c>
      <c r="H26" s="26">
        <f t="shared" si="11"/>
        <v>480</v>
      </c>
      <c r="I26" s="218">
        <f>+H26+H27</f>
        <v>946</v>
      </c>
      <c r="J26" s="222"/>
    </row>
    <row r="27" spans="1:11" ht="15" customHeight="1" x14ac:dyDescent="0.5">
      <c r="A27" s="55"/>
      <c r="B27" s="30" t="s">
        <v>355</v>
      </c>
      <c r="C27" s="30" t="s">
        <v>265</v>
      </c>
      <c r="D27" s="31">
        <f>88+71+84+75</f>
        <v>318</v>
      </c>
      <c r="E27" s="31">
        <f>35+44+35+34</f>
        <v>148</v>
      </c>
      <c r="F27" s="31">
        <v>4</v>
      </c>
      <c r="G27" s="31">
        <v>12</v>
      </c>
      <c r="H27" s="30">
        <f t="shared" si="11"/>
        <v>466</v>
      </c>
      <c r="I27" s="219"/>
      <c r="J27" s="223"/>
      <c r="K27" s="246"/>
    </row>
    <row r="28" spans="1:11" ht="16.5" customHeight="1" x14ac:dyDescent="0.25">
      <c r="A28" s="57" t="s">
        <v>39</v>
      </c>
      <c r="B28" s="33" t="s">
        <v>24</v>
      </c>
      <c r="C28" s="33" t="s">
        <v>264</v>
      </c>
      <c r="D28" s="8">
        <f>87+93+87+72</f>
        <v>339</v>
      </c>
      <c r="E28" s="8">
        <f>45+17+24+35</f>
        <v>121</v>
      </c>
      <c r="F28" s="8">
        <v>9</v>
      </c>
      <c r="G28" s="8">
        <v>15</v>
      </c>
      <c r="H28" s="26">
        <f>+D28+E28</f>
        <v>460</v>
      </c>
      <c r="I28" s="218">
        <f t="shared" ref="I28" si="12">+H28+H29</f>
        <v>950</v>
      </c>
      <c r="J28" s="220">
        <f>+I28+I30</f>
        <v>1956</v>
      </c>
      <c r="K28" s="245"/>
    </row>
    <row r="29" spans="1:11" ht="15.75" customHeight="1" x14ac:dyDescent="0.25">
      <c r="A29" s="248"/>
      <c r="B29" s="26" t="s">
        <v>25</v>
      </c>
      <c r="C29" s="26" t="s">
        <v>264</v>
      </c>
      <c r="D29" s="8">
        <f>80+85+85+83</f>
        <v>333</v>
      </c>
      <c r="E29" s="8">
        <f>62+25+35+35</f>
        <v>157</v>
      </c>
      <c r="F29" s="8">
        <v>5</v>
      </c>
      <c r="G29" s="8">
        <v>12</v>
      </c>
      <c r="H29" s="26">
        <f>+D29+E29</f>
        <v>490</v>
      </c>
      <c r="I29" s="218"/>
      <c r="J29" s="220"/>
      <c r="K29" s="245"/>
    </row>
    <row r="30" spans="1:11" ht="15" customHeight="1" x14ac:dyDescent="0.25">
      <c r="A30" s="248"/>
      <c r="B30" s="26" t="s">
        <v>115</v>
      </c>
      <c r="C30" s="26" t="s">
        <v>264</v>
      </c>
      <c r="D30" s="8">
        <f>81+94+77+76</f>
        <v>328</v>
      </c>
      <c r="E30" s="8">
        <f>35+43+42+50</f>
        <v>170</v>
      </c>
      <c r="F30" s="8">
        <v>6</v>
      </c>
      <c r="G30" s="8">
        <v>7</v>
      </c>
      <c r="H30" s="26">
        <f>+D30+E30</f>
        <v>498</v>
      </c>
      <c r="I30" s="218">
        <f t="shared" ref="I30" si="13">+H30+H31</f>
        <v>1006</v>
      </c>
      <c r="J30" s="220"/>
      <c r="K30" s="245"/>
    </row>
    <row r="31" spans="1:11" ht="15" customHeight="1" x14ac:dyDescent="0.25">
      <c r="A31" s="249"/>
      <c r="B31" s="30" t="s">
        <v>234</v>
      </c>
      <c r="C31" s="26" t="s">
        <v>264</v>
      </c>
      <c r="D31" s="31">
        <f>69+91+98+94</f>
        <v>352</v>
      </c>
      <c r="E31" s="31">
        <f>34+44+43+35</f>
        <v>156</v>
      </c>
      <c r="F31" s="31">
        <v>6</v>
      </c>
      <c r="G31" s="31">
        <v>9</v>
      </c>
      <c r="H31" s="26">
        <f>+D31+E31</f>
        <v>508</v>
      </c>
      <c r="I31" s="218"/>
      <c r="J31" s="223"/>
      <c r="K31" s="245"/>
    </row>
    <row r="32" spans="1:11" ht="15" customHeight="1" x14ac:dyDescent="0.25">
      <c r="A32" s="16" t="s">
        <v>40</v>
      </c>
      <c r="B32" s="33" t="s">
        <v>162</v>
      </c>
      <c r="C32" s="33" t="s">
        <v>253</v>
      </c>
      <c r="D32" s="8">
        <f>93+92+83+88</f>
        <v>356</v>
      </c>
      <c r="E32" s="8">
        <f>26+53+27+44</f>
        <v>150</v>
      </c>
      <c r="F32" s="8">
        <v>4</v>
      </c>
      <c r="G32" s="8">
        <v>11</v>
      </c>
      <c r="H32" s="33">
        <f t="shared" ref="H32:H35" si="14">+D32+E32</f>
        <v>506</v>
      </c>
      <c r="I32" s="224">
        <f t="shared" ref="I32" si="15">+H32+H33</f>
        <v>950</v>
      </c>
      <c r="J32" s="221">
        <f>+I32+I34</f>
        <v>1951</v>
      </c>
    </row>
    <row r="33" spans="1:10" ht="15" customHeight="1" x14ac:dyDescent="0.25">
      <c r="B33" s="26" t="s">
        <v>163</v>
      </c>
      <c r="C33" s="26" t="s">
        <v>253</v>
      </c>
      <c r="D33" s="8">
        <f>76+74+82+87</f>
        <v>319</v>
      </c>
      <c r="E33" s="8">
        <f>29+26+27+43</f>
        <v>125</v>
      </c>
      <c r="F33" s="8">
        <v>3</v>
      </c>
      <c r="G33" s="8">
        <v>18</v>
      </c>
      <c r="H33" s="26">
        <f t="shared" si="14"/>
        <v>444</v>
      </c>
      <c r="I33" s="218"/>
      <c r="J33" s="222"/>
    </row>
    <row r="34" spans="1:10" ht="15" customHeight="1" x14ac:dyDescent="0.25">
      <c r="B34" s="26" t="s">
        <v>316</v>
      </c>
      <c r="C34" s="26" t="s">
        <v>253</v>
      </c>
      <c r="D34" s="8">
        <f>71+88+79+84</f>
        <v>322</v>
      </c>
      <c r="E34" s="8">
        <f>25+48+45+60</f>
        <v>178</v>
      </c>
      <c r="F34" s="8">
        <v>9</v>
      </c>
      <c r="G34" s="8">
        <v>10</v>
      </c>
      <c r="H34" s="26">
        <f t="shared" si="14"/>
        <v>500</v>
      </c>
      <c r="I34" s="218">
        <f t="shared" ref="I34" si="16">+H34+H35</f>
        <v>1001</v>
      </c>
      <c r="J34" s="222"/>
    </row>
    <row r="35" spans="1:10" ht="15" customHeight="1" x14ac:dyDescent="0.25">
      <c r="A35" s="249"/>
      <c r="B35" s="51" t="s">
        <v>160</v>
      </c>
      <c r="C35" s="26" t="s">
        <v>253</v>
      </c>
      <c r="D35" s="8">
        <f>100+89+85+78</f>
        <v>352</v>
      </c>
      <c r="E35" s="8">
        <f>27+34+52+36</f>
        <v>149</v>
      </c>
      <c r="F35" s="8">
        <v>5</v>
      </c>
      <c r="G35" s="8">
        <v>9</v>
      </c>
      <c r="H35" s="30">
        <f t="shared" si="14"/>
        <v>501</v>
      </c>
      <c r="I35" s="219"/>
      <c r="J35" s="223"/>
    </row>
    <row r="36" spans="1:10" ht="15" customHeight="1" x14ac:dyDescent="0.25">
      <c r="A36" s="56" t="s">
        <v>41</v>
      </c>
      <c r="B36" s="33" t="s">
        <v>64</v>
      </c>
      <c r="C36" s="33" t="s">
        <v>63</v>
      </c>
      <c r="D36" s="35">
        <f>91+91+82+81</f>
        <v>345</v>
      </c>
      <c r="E36" s="35">
        <f>42+27+36+16</f>
        <v>121</v>
      </c>
      <c r="F36" s="35">
        <v>2</v>
      </c>
      <c r="G36" s="35">
        <v>14</v>
      </c>
      <c r="H36" s="33">
        <f t="shared" ref="H36:H39" si="17">+D36+E36</f>
        <v>466</v>
      </c>
      <c r="I36" s="224">
        <f t="shared" ref="I36" si="18">+H36+H37</f>
        <v>909</v>
      </c>
      <c r="J36" s="221">
        <f>+I36+I38</f>
        <v>1824</v>
      </c>
    </row>
    <row r="37" spans="1:10" ht="15" customHeight="1" x14ac:dyDescent="0.25">
      <c r="A37" s="248"/>
      <c r="B37" s="48" t="s">
        <v>247</v>
      </c>
      <c r="C37" s="26" t="s">
        <v>63</v>
      </c>
      <c r="D37" s="27">
        <f>83+81+76+91</f>
        <v>331</v>
      </c>
      <c r="E37" s="27">
        <f>26+35+27+24</f>
        <v>112</v>
      </c>
      <c r="F37" s="27">
        <v>0</v>
      </c>
      <c r="G37" s="27">
        <v>22</v>
      </c>
      <c r="H37" s="26">
        <f t="shared" si="17"/>
        <v>443</v>
      </c>
      <c r="I37" s="218"/>
      <c r="J37" s="222"/>
    </row>
    <row r="38" spans="1:10" ht="15" customHeight="1" x14ac:dyDescent="0.25">
      <c r="A38" s="248"/>
      <c r="B38" s="26" t="s">
        <v>65</v>
      </c>
      <c r="C38" s="26" t="s">
        <v>63</v>
      </c>
      <c r="D38" s="27">
        <f>72+81+85+86</f>
        <v>324</v>
      </c>
      <c r="E38" s="27">
        <f>44+26+26+27</f>
        <v>123</v>
      </c>
      <c r="F38" s="27">
        <v>1</v>
      </c>
      <c r="G38" s="27">
        <v>22</v>
      </c>
      <c r="H38" s="26">
        <f t="shared" si="17"/>
        <v>447</v>
      </c>
      <c r="I38" s="218">
        <f t="shared" ref="I38" si="19">+H38+H39</f>
        <v>915</v>
      </c>
      <c r="J38" s="222"/>
    </row>
    <row r="39" spans="1:10" ht="15" customHeight="1" x14ac:dyDescent="0.25">
      <c r="A39" s="249"/>
      <c r="B39" s="30" t="s">
        <v>178</v>
      </c>
      <c r="C39" s="30" t="s">
        <v>63</v>
      </c>
      <c r="D39" s="31">
        <f>96+76+78+94</f>
        <v>344</v>
      </c>
      <c r="E39" s="31">
        <f>43+30+17+34</f>
        <v>124</v>
      </c>
      <c r="F39" s="31">
        <v>4</v>
      </c>
      <c r="G39" s="31">
        <v>15</v>
      </c>
      <c r="H39" s="30">
        <f t="shared" si="17"/>
        <v>468</v>
      </c>
      <c r="I39" s="219"/>
      <c r="J39" s="223"/>
    </row>
    <row r="40" spans="1:10" ht="15" customHeight="1" x14ac:dyDescent="0.25">
      <c r="A40" s="16" t="s">
        <v>42</v>
      </c>
      <c r="B40" s="33" t="s">
        <v>206</v>
      </c>
      <c r="C40" s="33" t="s">
        <v>207</v>
      </c>
      <c r="D40" s="35">
        <f>78+67+79+79</f>
        <v>303</v>
      </c>
      <c r="E40" s="35">
        <f>42+18+25+17</f>
        <v>102</v>
      </c>
      <c r="F40" s="35">
        <v>4</v>
      </c>
      <c r="G40" s="35">
        <v>23</v>
      </c>
      <c r="H40" s="33">
        <f t="shared" ref="H40:H43" si="20">+D40+E40</f>
        <v>405</v>
      </c>
      <c r="I40" s="224">
        <f t="shared" ref="I40" si="21">+H40+H41</f>
        <v>847</v>
      </c>
      <c r="J40" s="221">
        <f>+I40+I42</f>
        <v>1770</v>
      </c>
    </row>
    <row r="41" spans="1:10" ht="15" customHeight="1" x14ac:dyDescent="0.25">
      <c r="B41" s="26" t="s">
        <v>209</v>
      </c>
      <c r="C41" s="26" t="s">
        <v>207</v>
      </c>
      <c r="D41" s="27">
        <f>80+68+86+85</f>
        <v>319</v>
      </c>
      <c r="E41" s="27">
        <f>27+17+35+44</f>
        <v>123</v>
      </c>
      <c r="F41" s="27">
        <v>5</v>
      </c>
      <c r="G41" s="27">
        <v>17</v>
      </c>
      <c r="H41" s="26">
        <f t="shared" si="20"/>
        <v>442</v>
      </c>
      <c r="I41" s="218"/>
      <c r="J41" s="222"/>
    </row>
    <row r="42" spans="1:10" ht="15" customHeight="1" x14ac:dyDescent="0.25">
      <c r="B42" s="48" t="s">
        <v>237</v>
      </c>
      <c r="C42" s="26" t="s">
        <v>207</v>
      </c>
      <c r="D42" s="27">
        <f>87+82+91+73</f>
        <v>333</v>
      </c>
      <c r="E42" s="27">
        <f>23+26+34+35</f>
        <v>118</v>
      </c>
      <c r="F42" s="27">
        <v>2</v>
      </c>
      <c r="G42" s="27">
        <v>20</v>
      </c>
      <c r="H42" s="26">
        <f t="shared" si="20"/>
        <v>451</v>
      </c>
      <c r="I42" s="218">
        <f t="shared" ref="I42" si="22">+H42+H43</f>
        <v>923</v>
      </c>
      <c r="J42" s="222"/>
    </row>
    <row r="43" spans="1:10" ht="15" customHeight="1" x14ac:dyDescent="0.25">
      <c r="A43" s="249"/>
      <c r="B43" s="51" t="s">
        <v>208</v>
      </c>
      <c r="C43" s="30" t="s">
        <v>207</v>
      </c>
      <c r="D43" s="31">
        <f>79+96+100+73</f>
        <v>348</v>
      </c>
      <c r="E43" s="31">
        <f>26+27+35+36</f>
        <v>124</v>
      </c>
      <c r="F43" s="31">
        <v>6</v>
      </c>
      <c r="G43" s="31">
        <v>14</v>
      </c>
      <c r="H43" s="30">
        <f t="shared" si="20"/>
        <v>472</v>
      </c>
      <c r="I43" s="219"/>
      <c r="J43" s="223"/>
    </row>
    <row r="44" spans="1:10" ht="15" customHeight="1" x14ac:dyDescent="0.25">
      <c r="A44" s="56" t="s">
        <v>43</v>
      </c>
      <c r="B44" t="s">
        <v>164</v>
      </c>
      <c r="C44" t="s">
        <v>133</v>
      </c>
      <c r="D44" s="35">
        <f>63+77+56+74</f>
        <v>270</v>
      </c>
      <c r="E44" s="35">
        <f>25+18+26+27</f>
        <v>96</v>
      </c>
      <c r="F44" s="35">
        <v>0</v>
      </c>
      <c r="G44" s="35">
        <v>26</v>
      </c>
      <c r="H44" s="33">
        <f>+D44+E44</f>
        <v>366</v>
      </c>
      <c r="I44" s="224">
        <f t="shared" ref="I44" si="23">+H44+H45</f>
        <v>737</v>
      </c>
      <c r="J44" s="221">
        <f>+I44+I46</f>
        <v>1727</v>
      </c>
    </row>
    <row r="45" spans="1:10" ht="15" customHeight="1" x14ac:dyDescent="0.25">
      <c r="A45" s="248"/>
      <c r="B45" s="26" t="s">
        <v>134</v>
      </c>
      <c r="C45" t="s">
        <v>133</v>
      </c>
      <c r="D45" s="27">
        <f>65+78+68+69</f>
        <v>280</v>
      </c>
      <c r="E45" s="27">
        <f>26+22+17+26</f>
        <v>91</v>
      </c>
      <c r="F45" s="27">
        <v>4</v>
      </c>
      <c r="G45" s="27">
        <v>32</v>
      </c>
      <c r="H45" s="26">
        <f>+D45+E45</f>
        <v>371</v>
      </c>
      <c r="I45" s="218"/>
      <c r="J45" s="222"/>
    </row>
    <row r="46" spans="1:10" ht="15" customHeight="1" x14ac:dyDescent="0.25">
      <c r="A46" s="248"/>
      <c r="B46" s="26" t="s">
        <v>130</v>
      </c>
      <c r="C46" t="s">
        <v>133</v>
      </c>
      <c r="D46" s="27">
        <f>86+101+80+92</f>
        <v>359</v>
      </c>
      <c r="E46" s="27">
        <f>42+40+26+36</f>
        <v>144</v>
      </c>
      <c r="F46" s="27">
        <v>9</v>
      </c>
      <c r="G46" s="27">
        <v>8</v>
      </c>
      <c r="H46" s="26">
        <f>+D46+E46</f>
        <v>503</v>
      </c>
      <c r="I46" s="218">
        <f>+H46+H47</f>
        <v>990</v>
      </c>
      <c r="J46" s="222"/>
    </row>
    <row r="47" spans="1:10" ht="15" customHeight="1" x14ac:dyDescent="0.25">
      <c r="A47" s="249"/>
      <c r="B47" s="30" t="s">
        <v>154</v>
      </c>
      <c r="C47" s="30" t="s">
        <v>133</v>
      </c>
      <c r="D47" s="31">
        <f>82+84+83+94</f>
        <v>343</v>
      </c>
      <c r="E47" s="31">
        <f>41+33+44+26</f>
        <v>144</v>
      </c>
      <c r="F47" s="31">
        <v>8</v>
      </c>
      <c r="G47" s="31">
        <v>12</v>
      </c>
      <c r="H47" s="30">
        <f>+D47+E47</f>
        <v>487</v>
      </c>
      <c r="I47" s="219"/>
      <c r="J47" s="223"/>
    </row>
    <row r="48" spans="1:10" x14ac:dyDescent="0.25">
      <c r="B48" s="48" t="s">
        <v>17</v>
      </c>
      <c r="C48" s="26" t="s">
        <v>18</v>
      </c>
      <c r="D48" s="27">
        <f>84+91+92+88</f>
        <v>355</v>
      </c>
      <c r="E48" s="27">
        <f>36+61+45+26</f>
        <v>168</v>
      </c>
      <c r="F48" s="27">
        <v>4</v>
      </c>
      <c r="G48" s="27">
        <v>11</v>
      </c>
      <c r="H48" s="26">
        <f t="shared" ref="H48:H51" si="24">+D48+E48</f>
        <v>523</v>
      </c>
      <c r="I48" s="247"/>
      <c r="J48" s="114"/>
    </row>
    <row r="49" spans="1:11" ht="15" customHeight="1" x14ac:dyDescent="0.3">
      <c r="A49" s="248"/>
      <c r="B49" s="26" t="s">
        <v>304</v>
      </c>
      <c r="C49" s="26" t="s">
        <v>118</v>
      </c>
      <c r="D49" s="27">
        <f>92+85+96+87</f>
        <v>360</v>
      </c>
      <c r="E49" s="27">
        <f>36+27+32+43</f>
        <v>138</v>
      </c>
      <c r="F49" s="27">
        <v>6</v>
      </c>
      <c r="G49" s="27">
        <v>11</v>
      </c>
      <c r="H49" s="26">
        <f t="shared" si="24"/>
        <v>498</v>
      </c>
      <c r="I49" s="247"/>
    </row>
    <row r="50" spans="1:11" ht="15" customHeight="1" x14ac:dyDescent="0.3">
      <c r="A50" s="248"/>
      <c r="B50" s="48" t="s">
        <v>20</v>
      </c>
      <c r="C50" s="26" t="s">
        <v>18</v>
      </c>
      <c r="D50" s="27">
        <f>94+86+100+92</f>
        <v>372</v>
      </c>
      <c r="E50" s="27">
        <f>44+35+34+44</f>
        <v>157</v>
      </c>
      <c r="F50" s="27">
        <v>4</v>
      </c>
      <c r="G50" s="27">
        <v>7</v>
      </c>
      <c r="H50" s="26">
        <f t="shared" si="24"/>
        <v>529</v>
      </c>
      <c r="I50" s="210"/>
    </row>
    <row r="51" spans="1:11" ht="15" customHeight="1" x14ac:dyDescent="0.3">
      <c r="A51" s="248"/>
      <c r="B51" s="48" t="s">
        <v>246</v>
      </c>
      <c r="C51" s="26" t="s">
        <v>18</v>
      </c>
      <c r="D51" s="27">
        <f>83+77+79+91</f>
        <v>330</v>
      </c>
      <c r="E51" s="27">
        <f>32+51+27+36</f>
        <v>146</v>
      </c>
      <c r="F51" s="27">
        <v>3</v>
      </c>
      <c r="G51" s="27">
        <v>13</v>
      </c>
      <c r="H51" s="26">
        <f t="shared" si="24"/>
        <v>476</v>
      </c>
      <c r="I51" s="210"/>
    </row>
    <row r="52" spans="1:11" x14ac:dyDescent="0.3">
      <c r="A52" s="248"/>
      <c r="C52" s="44" t="s">
        <v>98</v>
      </c>
      <c r="D52" s="37">
        <f>AVERAGE(D4:D51)</f>
        <v>340.4375</v>
      </c>
      <c r="E52" s="37">
        <f t="shared" ref="E52:H52" si="25">AVERAGE(E4:E51)</f>
        <v>147.83333333333334</v>
      </c>
      <c r="F52" s="38">
        <f t="shared" si="25"/>
        <v>5.3125</v>
      </c>
      <c r="G52" s="38">
        <f t="shared" si="25"/>
        <v>12.25</v>
      </c>
      <c r="H52" s="37">
        <f t="shared" si="25"/>
        <v>488.27083333333331</v>
      </c>
    </row>
    <row r="53" spans="1:11" x14ac:dyDescent="0.3">
      <c r="A53" s="248"/>
    </row>
    <row r="54" spans="1:11" x14ac:dyDescent="0.3">
      <c r="A54" s="248"/>
    </row>
    <row r="57" spans="1:11" ht="15" customHeight="1" x14ac:dyDescent="0.3"/>
    <row r="58" spans="1:11" ht="15" customHeight="1" x14ac:dyDescent="0.5">
      <c r="K58" s="246"/>
    </row>
    <row r="59" spans="1:11" ht="15" customHeight="1" x14ac:dyDescent="0.5">
      <c r="K59" s="246"/>
    </row>
    <row r="60" spans="1:11" ht="15" customHeight="1" x14ac:dyDescent="0.5">
      <c r="K60" s="246"/>
    </row>
    <row r="61" spans="1:11" ht="15" customHeight="1" x14ac:dyDescent="0.3"/>
    <row r="63" spans="1:11" ht="14.1" customHeight="1" x14ac:dyDescent="0.3"/>
    <row r="64" spans="1:11" ht="14.1" customHeight="1" x14ac:dyDescent="0.3">
      <c r="B64" s="26"/>
      <c r="C64" s="26"/>
      <c r="D64" s="27"/>
      <c r="E64" s="27"/>
      <c r="F64" s="27"/>
      <c r="G64" s="27"/>
      <c r="H64" s="26"/>
    </row>
    <row r="65" spans="2:10" ht="14.1" customHeight="1" x14ac:dyDescent="0.3">
      <c r="B65" s="26"/>
      <c r="C65" s="26"/>
      <c r="D65" s="27"/>
      <c r="E65" s="27"/>
      <c r="F65" s="27"/>
      <c r="G65" s="27"/>
      <c r="H65" s="26"/>
    </row>
    <row r="66" spans="2:10" ht="14.1" customHeight="1" x14ac:dyDescent="0.3">
      <c r="B66" s="26"/>
      <c r="C66" s="26"/>
      <c r="D66" s="27"/>
      <c r="E66" s="27"/>
      <c r="F66" s="27"/>
      <c r="G66" s="27"/>
      <c r="H66" s="26"/>
    </row>
    <row r="67" spans="2:10" ht="14.1" customHeight="1" x14ac:dyDescent="0.3">
      <c r="B67" s="26"/>
      <c r="C67" s="26"/>
      <c r="D67" s="27"/>
      <c r="E67" s="27"/>
      <c r="F67" s="27"/>
      <c r="G67" s="27"/>
      <c r="H67" s="26"/>
    </row>
    <row r="72" spans="2:10" x14ac:dyDescent="0.3">
      <c r="D72" s="8">
        <f>AVERAGE(D4:D70)</f>
        <v>340.4375</v>
      </c>
      <c r="E72" s="8">
        <f t="shared" ref="E72:H72" si="26">AVERAGE(E4:E70)</f>
        <v>147.83333333333331</v>
      </c>
      <c r="F72" s="244">
        <f t="shared" si="26"/>
        <v>5.3125</v>
      </c>
      <c r="G72" s="244">
        <f t="shared" si="26"/>
        <v>12.25</v>
      </c>
      <c r="H72" s="8">
        <f t="shared" si="26"/>
        <v>488.27083333333331</v>
      </c>
    </row>
    <row r="75" spans="2:10" x14ac:dyDescent="0.3">
      <c r="I75" s="26"/>
      <c r="J75" s="82"/>
    </row>
    <row r="76" spans="2:10" x14ac:dyDescent="0.3">
      <c r="I76" s="26"/>
      <c r="J76" s="82"/>
    </row>
    <row r="77" spans="2:10" x14ac:dyDescent="0.3">
      <c r="I77" s="26"/>
      <c r="J77" s="82"/>
    </row>
    <row r="78" spans="2:10" x14ac:dyDescent="0.3">
      <c r="I78" s="26"/>
      <c r="J78" s="82"/>
    </row>
  </sheetData>
  <mergeCells count="33">
    <mergeCell ref="I4:I5"/>
    <mergeCell ref="J4:J7"/>
    <mergeCell ref="I6:I7"/>
    <mergeCell ref="I46:I47"/>
    <mergeCell ref="J44:J47"/>
    <mergeCell ref="I20:I21"/>
    <mergeCell ref="J20:J23"/>
    <mergeCell ref="J36:J39"/>
    <mergeCell ref="I38:I39"/>
    <mergeCell ref="I44:I45"/>
    <mergeCell ref="I22:I23"/>
    <mergeCell ref="I36:I37"/>
    <mergeCell ref="I8:I9"/>
    <mergeCell ref="J8:J11"/>
    <mergeCell ref="I10:I11"/>
    <mergeCell ref="I12:I13"/>
    <mergeCell ref="I42:I43"/>
    <mergeCell ref="I16:I17"/>
    <mergeCell ref="J16:J19"/>
    <mergeCell ref="I18:I19"/>
    <mergeCell ref="I28:I29"/>
    <mergeCell ref="I30:I31"/>
    <mergeCell ref="I40:I41"/>
    <mergeCell ref="J40:J43"/>
    <mergeCell ref="I32:I33"/>
    <mergeCell ref="J32:J35"/>
    <mergeCell ref="I34:I35"/>
    <mergeCell ref="J28:J31"/>
    <mergeCell ref="J12:J15"/>
    <mergeCell ref="I14:I15"/>
    <mergeCell ref="I24:I25"/>
    <mergeCell ref="I26:I27"/>
    <mergeCell ref="J24:J2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3"/>
  <sheetViews>
    <sheetView zoomScaleNormal="100" workbookViewId="0">
      <selection activeCell="N11" sqref="N11"/>
    </sheetView>
  </sheetViews>
  <sheetFormatPr defaultRowHeight="15" x14ac:dyDescent="0.25"/>
  <cols>
    <col min="1" max="1" width="3.140625" customWidth="1"/>
    <col min="2" max="2" width="20.7109375" customWidth="1"/>
    <col min="3" max="3" width="16" customWidth="1"/>
    <col min="4" max="4" width="6.85546875" style="8" customWidth="1"/>
    <col min="5" max="5" width="6.42578125" style="8" customWidth="1"/>
    <col min="6" max="6" width="4.140625" style="8" customWidth="1"/>
    <col min="7" max="7" width="4.5703125" style="8" customWidth="1"/>
    <col min="8" max="8" width="5.7109375" style="2" customWidth="1"/>
    <col min="9" max="9" width="5.85546875" customWidth="1"/>
    <col min="10" max="10" width="8.140625" customWidth="1"/>
  </cols>
  <sheetData>
    <row r="1" spans="1:10" ht="18.75" x14ac:dyDescent="0.3">
      <c r="A1" s="2"/>
      <c r="B1" s="5" t="s">
        <v>298</v>
      </c>
      <c r="E1" s="9" t="s">
        <v>14</v>
      </c>
      <c r="F1" s="9"/>
      <c r="G1" s="9"/>
      <c r="H1" s="9" t="s">
        <v>15</v>
      </c>
    </row>
    <row r="2" spans="1:10" ht="6.75" customHeight="1" x14ac:dyDescent="0.25">
      <c r="A2" s="2"/>
    </row>
    <row r="3" spans="1:10" x14ac:dyDescent="0.25">
      <c r="A3" s="29"/>
      <c r="B3" s="53" t="s">
        <v>1</v>
      </c>
      <c r="C3" s="53" t="s">
        <v>2</v>
      </c>
      <c r="D3" s="53" t="s">
        <v>4</v>
      </c>
      <c r="E3" s="53" t="s">
        <v>5</v>
      </c>
      <c r="F3" s="53">
        <v>9</v>
      </c>
      <c r="G3" s="53" t="s">
        <v>6</v>
      </c>
      <c r="H3" s="29"/>
      <c r="I3" s="30"/>
      <c r="J3" s="30"/>
    </row>
    <row r="4" spans="1:10" x14ac:dyDescent="0.25">
      <c r="A4" s="16" t="s">
        <v>0</v>
      </c>
      <c r="B4" s="26" t="s">
        <v>26</v>
      </c>
      <c r="C4" s="26" t="s">
        <v>245</v>
      </c>
      <c r="D4" s="28">
        <f>90+87+104+99</f>
        <v>380</v>
      </c>
      <c r="E4" s="27">
        <f>51+50+36+40</f>
        <v>177</v>
      </c>
      <c r="F4" s="27">
        <v>8</v>
      </c>
      <c r="G4" s="27">
        <v>6</v>
      </c>
      <c r="H4" s="25">
        <f>+D4+E4</f>
        <v>557</v>
      </c>
      <c r="I4" s="218">
        <f>+H4+H5</f>
        <v>1057</v>
      </c>
      <c r="J4" s="222">
        <f>+I4+I6</f>
        <v>2147</v>
      </c>
    </row>
    <row r="5" spans="1:10" x14ac:dyDescent="0.25">
      <c r="A5" s="16"/>
      <c r="B5" s="26" t="s">
        <v>27</v>
      </c>
      <c r="C5" s="26" t="s">
        <v>245</v>
      </c>
      <c r="D5" s="27">
        <f>93+79+84+76</f>
        <v>332</v>
      </c>
      <c r="E5" s="27">
        <f>36+45+45+42</f>
        <v>168</v>
      </c>
      <c r="F5" s="27">
        <v>3</v>
      </c>
      <c r="G5" s="27">
        <v>8</v>
      </c>
      <c r="H5" s="25">
        <f>+D5+E5</f>
        <v>500</v>
      </c>
      <c r="I5" s="218"/>
      <c r="J5" s="222"/>
    </row>
    <row r="6" spans="1:10" x14ac:dyDescent="0.25">
      <c r="A6" s="16"/>
      <c r="B6" s="26" t="s">
        <v>244</v>
      </c>
      <c r="C6" s="26" t="s">
        <v>245</v>
      </c>
      <c r="D6" s="27">
        <f>94+92+79+94</f>
        <v>359</v>
      </c>
      <c r="E6" s="27">
        <f>53+45+61+42</f>
        <v>201</v>
      </c>
      <c r="F6" s="28">
        <v>9</v>
      </c>
      <c r="G6" s="27">
        <v>1</v>
      </c>
      <c r="H6" s="25">
        <f t="shared" ref="H6" si="0">+D6+E6</f>
        <v>560</v>
      </c>
      <c r="I6" s="218">
        <f>+H6+H7</f>
        <v>1090</v>
      </c>
      <c r="J6" s="222"/>
    </row>
    <row r="7" spans="1:10" x14ac:dyDescent="0.25">
      <c r="A7" s="55"/>
      <c r="B7" s="30" t="s">
        <v>201</v>
      </c>
      <c r="C7" s="30" t="s">
        <v>245</v>
      </c>
      <c r="D7" s="31">
        <f>80+95+84+86</f>
        <v>345</v>
      </c>
      <c r="E7" s="31">
        <f>52+42+40+51</f>
        <v>185</v>
      </c>
      <c r="F7" s="31">
        <v>8</v>
      </c>
      <c r="G7" s="74">
        <v>3</v>
      </c>
      <c r="H7" s="29">
        <f t="shared" ref="H7:H20" si="1">+D7+E7</f>
        <v>530</v>
      </c>
      <c r="I7" s="219"/>
      <c r="J7" s="223"/>
    </row>
    <row r="8" spans="1:10" ht="15" customHeight="1" x14ac:dyDescent="0.25">
      <c r="A8" s="16" t="s">
        <v>9</v>
      </c>
      <c r="B8" s="26" t="s">
        <v>295</v>
      </c>
      <c r="C8" s="26" t="s">
        <v>18</v>
      </c>
      <c r="D8" s="35">
        <f>69+61+74+80</f>
        <v>284</v>
      </c>
      <c r="E8" s="35">
        <f>27+44+27+35</f>
        <v>133</v>
      </c>
      <c r="F8" s="35">
        <v>2</v>
      </c>
      <c r="G8" s="35">
        <v>22</v>
      </c>
      <c r="H8" s="32">
        <f>+D8+E8</f>
        <v>417</v>
      </c>
      <c r="I8" s="224">
        <f t="shared" ref="I8" si="2">+H8+H9</f>
        <v>881</v>
      </c>
      <c r="J8" s="221">
        <f>+I8+I10</f>
        <v>1890</v>
      </c>
    </row>
    <row r="9" spans="1:10" ht="15" customHeight="1" x14ac:dyDescent="0.25">
      <c r="A9" s="16"/>
      <c r="B9" s="26" t="s">
        <v>96</v>
      </c>
      <c r="C9" s="26" t="s">
        <v>18</v>
      </c>
      <c r="D9" s="27">
        <f>95+74+70+92</f>
        <v>331</v>
      </c>
      <c r="E9" s="27">
        <f>42+31+35+25</f>
        <v>133</v>
      </c>
      <c r="F9" s="27">
        <v>3</v>
      </c>
      <c r="G9" s="27">
        <v>13</v>
      </c>
      <c r="H9" s="25">
        <f>+D9+E9</f>
        <v>464</v>
      </c>
      <c r="I9" s="218"/>
      <c r="J9" s="222"/>
    </row>
    <row r="10" spans="1:10" ht="15" customHeight="1" x14ac:dyDescent="0.25">
      <c r="A10" s="16"/>
      <c r="B10" t="s">
        <v>218</v>
      </c>
      <c r="C10" s="26" t="s">
        <v>18</v>
      </c>
      <c r="D10" s="8">
        <f>89+77+87+77</f>
        <v>330</v>
      </c>
      <c r="E10" s="8">
        <f>34+25+41+34</f>
        <v>134</v>
      </c>
      <c r="F10" s="8">
        <v>3</v>
      </c>
      <c r="G10" s="8">
        <v>12</v>
      </c>
      <c r="H10" s="25">
        <f>+D10+E10</f>
        <v>464</v>
      </c>
      <c r="I10" s="218">
        <f>+H10+H11</f>
        <v>1009</v>
      </c>
      <c r="J10" s="222"/>
    </row>
    <row r="11" spans="1:10" ht="15" customHeight="1" x14ac:dyDescent="0.25">
      <c r="A11" s="55"/>
      <c r="B11" s="30" t="s">
        <v>97</v>
      </c>
      <c r="C11" s="30" t="s">
        <v>18</v>
      </c>
      <c r="D11" s="31">
        <f>96+86+84+89</f>
        <v>355</v>
      </c>
      <c r="E11" s="31">
        <f>60+42+45+43</f>
        <v>190</v>
      </c>
      <c r="F11" s="74">
        <v>5</v>
      </c>
      <c r="G11" s="31">
        <v>1</v>
      </c>
      <c r="H11" s="29">
        <f>+D11+E11</f>
        <v>545</v>
      </c>
      <c r="I11" s="219"/>
      <c r="J11" s="223"/>
    </row>
    <row r="12" spans="1:10" x14ac:dyDescent="0.25">
      <c r="A12" s="16" t="s">
        <v>10</v>
      </c>
      <c r="B12" s="33" t="s">
        <v>193</v>
      </c>
      <c r="C12" s="33" t="s">
        <v>192</v>
      </c>
      <c r="D12" s="35">
        <f>77+66+95+85</f>
        <v>323</v>
      </c>
      <c r="E12" s="35">
        <f>25+36+26+33</f>
        <v>120</v>
      </c>
      <c r="F12" s="35">
        <v>7</v>
      </c>
      <c r="G12" s="35">
        <v>27</v>
      </c>
      <c r="H12" s="32">
        <f>+D12+E12</f>
        <v>443</v>
      </c>
      <c r="I12" s="224">
        <f>+H12+H13</f>
        <v>896</v>
      </c>
      <c r="J12" s="221">
        <f>+I12+I14</f>
        <v>1854</v>
      </c>
    </row>
    <row r="13" spans="1:10" x14ac:dyDescent="0.25">
      <c r="A13" s="2"/>
      <c r="B13" s="48" t="s">
        <v>291</v>
      </c>
      <c r="C13" s="26" t="s">
        <v>192</v>
      </c>
      <c r="D13" s="27">
        <f>74+81+87+72</f>
        <v>314</v>
      </c>
      <c r="E13" s="27">
        <f>18+51+35+35</f>
        <v>139</v>
      </c>
      <c r="F13" s="27">
        <v>3</v>
      </c>
      <c r="G13" s="27">
        <v>14</v>
      </c>
      <c r="H13" s="25">
        <f>+D13+E13</f>
        <v>453</v>
      </c>
      <c r="I13" s="218"/>
      <c r="J13" s="222"/>
    </row>
    <row r="14" spans="1:10" x14ac:dyDescent="0.25">
      <c r="A14" s="2"/>
      <c r="B14" s="26" t="s">
        <v>194</v>
      </c>
      <c r="C14" s="26" t="s">
        <v>192</v>
      </c>
      <c r="D14" s="87">
        <f>81+80+94+80</f>
        <v>335</v>
      </c>
      <c r="E14" s="87">
        <f>27+44+35+24</f>
        <v>130</v>
      </c>
      <c r="F14" s="87">
        <v>5</v>
      </c>
      <c r="G14" s="87">
        <v>9</v>
      </c>
      <c r="H14" s="25">
        <f>+D14+E14</f>
        <v>465</v>
      </c>
      <c r="I14" s="218">
        <f>+H14+H15</f>
        <v>958</v>
      </c>
      <c r="J14" s="222"/>
    </row>
    <row r="15" spans="1:10" x14ac:dyDescent="0.25">
      <c r="A15" s="29"/>
      <c r="B15" s="30" t="s">
        <v>196</v>
      </c>
      <c r="C15" s="30" t="s">
        <v>192</v>
      </c>
      <c r="D15" s="31">
        <f>78+87+87+86</f>
        <v>338</v>
      </c>
      <c r="E15" s="74">
        <f>35+44+43+33</f>
        <v>155</v>
      </c>
      <c r="F15" s="31">
        <v>4</v>
      </c>
      <c r="G15" s="31">
        <v>14</v>
      </c>
      <c r="H15" s="29">
        <f>+D15+E15</f>
        <v>493</v>
      </c>
      <c r="I15" s="219"/>
      <c r="J15" s="223"/>
    </row>
    <row r="16" spans="1:10" x14ac:dyDescent="0.25">
      <c r="A16" s="25"/>
      <c r="B16" s="33" t="s">
        <v>310</v>
      </c>
      <c r="C16" s="33" t="s">
        <v>305</v>
      </c>
      <c r="D16" s="35">
        <f>89+93+89+66</f>
        <v>337</v>
      </c>
      <c r="E16" s="35">
        <f>44+33+18+17</f>
        <v>112</v>
      </c>
      <c r="F16" s="35">
        <v>4</v>
      </c>
      <c r="G16" s="35">
        <v>17</v>
      </c>
      <c r="H16" s="32">
        <f t="shared" ref="H16:H18" si="3">+D16+E16</f>
        <v>449</v>
      </c>
      <c r="I16" s="224">
        <f>+H16+H17</f>
        <v>903</v>
      </c>
      <c r="J16" s="221">
        <f>+I16+I18</f>
        <v>1388</v>
      </c>
    </row>
    <row r="17" spans="1:17" x14ac:dyDescent="0.25">
      <c r="A17" s="25"/>
      <c r="B17" s="26" t="s">
        <v>311</v>
      </c>
      <c r="C17" s="26" t="s">
        <v>305</v>
      </c>
      <c r="D17" s="27">
        <f>73+82+100+79</f>
        <v>334</v>
      </c>
      <c r="E17" s="27">
        <f>31+35+27+27</f>
        <v>120</v>
      </c>
      <c r="F17" s="27">
        <v>3</v>
      </c>
      <c r="G17" s="27">
        <v>15</v>
      </c>
      <c r="H17" s="25">
        <f t="shared" si="3"/>
        <v>454</v>
      </c>
      <c r="I17" s="218"/>
      <c r="J17" s="222"/>
    </row>
    <row r="18" spans="1:17" x14ac:dyDescent="0.25">
      <c r="A18" s="25"/>
      <c r="B18" s="48" t="s">
        <v>312</v>
      </c>
      <c r="C18" s="26" t="s">
        <v>305</v>
      </c>
      <c r="D18" s="87">
        <f>79+80+79+81</f>
        <v>319</v>
      </c>
      <c r="E18" s="87">
        <f>30+52+58+26</f>
        <v>166</v>
      </c>
      <c r="F18" s="87">
        <v>3</v>
      </c>
      <c r="G18" s="87">
        <v>13</v>
      </c>
      <c r="H18" s="25">
        <f t="shared" si="3"/>
        <v>485</v>
      </c>
      <c r="I18" s="218">
        <f>+H18+H19</f>
        <v>485</v>
      </c>
      <c r="J18" s="222"/>
    </row>
    <row r="19" spans="1:17" x14ac:dyDescent="0.25">
      <c r="A19" s="25"/>
      <c r="B19" s="26"/>
      <c r="C19" s="26"/>
      <c r="D19" s="27"/>
      <c r="E19" s="56"/>
      <c r="F19" s="27"/>
      <c r="G19" s="27"/>
      <c r="H19" s="25"/>
      <c r="I19" s="218"/>
      <c r="J19" s="222"/>
    </row>
    <row r="20" spans="1:17" ht="15" customHeight="1" x14ac:dyDescent="0.25">
      <c r="B20" s="26" t="s">
        <v>29</v>
      </c>
      <c r="C20" s="26" t="s">
        <v>166</v>
      </c>
      <c r="D20" s="27">
        <f>89+94+88+81</f>
        <v>352</v>
      </c>
      <c r="E20" s="27">
        <f>34+35+25+53</f>
        <v>147</v>
      </c>
      <c r="F20" s="27">
        <v>9</v>
      </c>
      <c r="G20" s="27">
        <v>14</v>
      </c>
      <c r="H20" s="25">
        <f t="shared" si="1"/>
        <v>499</v>
      </c>
      <c r="I20" s="26"/>
      <c r="J20" s="26"/>
    </row>
    <row r="21" spans="1:17" ht="15" customHeight="1" x14ac:dyDescent="0.25">
      <c r="H21" s="25"/>
    </row>
    <row r="22" spans="1:17" x14ac:dyDescent="0.25">
      <c r="A22" s="2"/>
      <c r="D22" s="67">
        <f>AVERAGE(D4:D20)</f>
        <v>335.5</v>
      </c>
      <c r="E22" s="67">
        <f>AVERAGE(E4:E20)</f>
        <v>150.625</v>
      </c>
      <c r="F22" s="213">
        <f>AVERAGE(F4:F20)</f>
        <v>4.9375</v>
      </c>
      <c r="G22" s="213">
        <f>AVERAGE(G4:G20)</f>
        <v>11.8125</v>
      </c>
      <c r="H22" s="67">
        <f>AVERAGE(H4:H20)</f>
        <v>486.125</v>
      </c>
      <c r="I22" s="118"/>
    </row>
    <row r="23" spans="1:17" x14ac:dyDescent="0.25">
      <c r="A23" s="2"/>
    </row>
    <row r="24" spans="1:17" x14ac:dyDescent="0.25">
      <c r="A24" s="2"/>
    </row>
    <row r="25" spans="1:17" x14ac:dyDescent="0.25">
      <c r="A25" s="2"/>
    </row>
    <row r="27" spans="1:17" x14ac:dyDescent="0.25">
      <c r="Q27" s="230"/>
    </row>
    <row r="28" spans="1:17" x14ac:dyDescent="0.25">
      <c r="Q28" s="230"/>
    </row>
    <row r="29" spans="1:17" x14ac:dyDescent="0.25">
      <c r="Q29" s="230"/>
    </row>
    <row r="30" spans="1:17" x14ac:dyDescent="0.25">
      <c r="J30" s="230"/>
      <c r="Q30" s="230"/>
    </row>
    <row r="31" spans="1:17" x14ac:dyDescent="0.25">
      <c r="J31" s="230"/>
    </row>
    <row r="32" spans="1:17" x14ac:dyDescent="0.25">
      <c r="I32" s="225"/>
      <c r="J32" s="230"/>
    </row>
    <row r="33" spans="9:10" x14ac:dyDescent="0.25">
      <c r="I33" s="225"/>
      <c r="J33" s="230"/>
    </row>
  </sheetData>
  <mergeCells count="15">
    <mergeCell ref="I4:I5"/>
    <mergeCell ref="J4:J7"/>
    <mergeCell ref="I6:I7"/>
    <mergeCell ref="I8:I9"/>
    <mergeCell ref="I10:I11"/>
    <mergeCell ref="J8:J11"/>
    <mergeCell ref="Q27:Q30"/>
    <mergeCell ref="I12:I13"/>
    <mergeCell ref="J12:J15"/>
    <mergeCell ref="J30:J33"/>
    <mergeCell ref="I32:I33"/>
    <mergeCell ref="I14:I15"/>
    <mergeCell ref="I16:I17"/>
    <mergeCell ref="J16:J19"/>
    <mergeCell ref="I18:I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74"/>
  <sheetViews>
    <sheetView topLeftCell="A19" zoomScaleNormal="100" workbookViewId="0">
      <selection activeCell="K52" sqref="K52"/>
    </sheetView>
  </sheetViews>
  <sheetFormatPr defaultRowHeight="15" x14ac:dyDescent="0.25"/>
  <cols>
    <col min="1" max="1" width="3.5703125" customWidth="1"/>
    <col min="2" max="2" width="18.28515625" customWidth="1"/>
    <col min="3" max="3" width="15.5703125" customWidth="1"/>
    <col min="4" max="4" width="5.5703125" style="7" bestFit="1" customWidth="1"/>
    <col min="5" max="5" width="3.28515625" style="8" customWidth="1"/>
    <col min="6" max="6" width="1.42578125" style="8" customWidth="1"/>
    <col min="7" max="7" width="1.28515625" style="8" customWidth="1"/>
    <col min="8" max="8" width="3.5703125" customWidth="1"/>
    <col min="9" max="9" width="17.42578125" customWidth="1"/>
    <col min="10" max="10" width="17.7109375" customWidth="1"/>
    <col min="11" max="11" width="5" style="7" customWidth="1"/>
    <col min="12" max="12" width="3.28515625" style="126" customWidth="1"/>
    <col min="13" max="13" width="0.7109375" customWidth="1"/>
    <col min="14" max="14" width="3.5703125" customWidth="1"/>
    <col min="15" max="15" width="20.42578125" customWidth="1"/>
    <col min="16" max="16" width="14.42578125" customWidth="1"/>
    <col min="17" max="17" width="4.28515625" style="4" customWidth="1"/>
    <col min="18" max="18" width="3.28515625" style="50" customWidth="1"/>
  </cols>
  <sheetData>
    <row r="1" spans="1:17" ht="18.75" x14ac:dyDescent="0.3">
      <c r="B1" s="10" t="s">
        <v>298</v>
      </c>
      <c r="J1" s="54"/>
    </row>
    <row r="2" spans="1:17" ht="3" customHeight="1" x14ac:dyDescent="0.25"/>
    <row r="3" spans="1:17" ht="15.75" x14ac:dyDescent="0.25">
      <c r="B3" s="119" t="s">
        <v>37</v>
      </c>
    </row>
    <row r="4" spans="1:17" ht="1.5" customHeight="1" x14ac:dyDescent="0.25"/>
    <row r="5" spans="1:17" x14ac:dyDescent="0.25">
      <c r="B5" s="16" t="s">
        <v>38</v>
      </c>
      <c r="C5" s="15"/>
      <c r="D5" s="16"/>
      <c r="E5" s="23"/>
      <c r="F5" s="23"/>
      <c r="G5" s="23"/>
      <c r="H5" s="15"/>
      <c r="I5" s="16" t="s">
        <v>53</v>
      </c>
      <c r="J5" s="15"/>
      <c r="L5" s="106"/>
      <c r="M5" s="15"/>
      <c r="N5" s="15"/>
      <c r="O5" s="16" t="s">
        <v>54</v>
      </c>
    </row>
    <row r="6" spans="1:17" ht="3" customHeight="1" x14ac:dyDescent="0.25"/>
    <row r="7" spans="1:17" x14ac:dyDescent="0.25">
      <c r="A7" s="16" t="s">
        <v>0</v>
      </c>
      <c r="B7" s="48" t="s">
        <v>323</v>
      </c>
      <c r="C7" s="48" t="s">
        <v>322</v>
      </c>
      <c r="D7" s="7">
        <v>597</v>
      </c>
      <c r="F7" s="24"/>
      <c r="H7" s="16" t="s">
        <v>0</v>
      </c>
      <c r="I7" s="26" t="s">
        <v>308</v>
      </c>
      <c r="J7" s="26" t="s">
        <v>305</v>
      </c>
      <c r="K7" s="7">
        <v>586</v>
      </c>
      <c r="N7" s="16" t="s">
        <v>0</v>
      </c>
      <c r="O7" t="s">
        <v>244</v>
      </c>
      <c r="P7" s="26" t="s">
        <v>245</v>
      </c>
      <c r="Q7" s="4">
        <v>560</v>
      </c>
    </row>
    <row r="8" spans="1:17" x14ac:dyDescent="0.25">
      <c r="A8" s="16" t="s">
        <v>9</v>
      </c>
      <c r="B8" s="48" t="s">
        <v>283</v>
      </c>
      <c r="C8" s="48" t="s">
        <v>317</v>
      </c>
      <c r="D8" s="7">
        <v>592</v>
      </c>
      <c r="F8" s="24"/>
      <c r="H8" s="16" t="s">
        <v>9</v>
      </c>
      <c r="I8" s="48" t="s">
        <v>307</v>
      </c>
      <c r="J8" s="26" t="s">
        <v>305</v>
      </c>
      <c r="K8" s="7">
        <v>565</v>
      </c>
      <c r="N8" s="16" t="s">
        <v>9</v>
      </c>
      <c r="O8" s="49" t="s">
        <v>26</v>
      </c>
      <c r="P8" s="26" t="s">
        <v>245</v>
      </c>
      <c r="Q8" s="4">
        <v>557</v>
      </c>
    </row>
    <row r="9" spans="1:17" x14ac:dyDescent="0.25">
      <c r="A9" s="16" t="s">
        <v>10</v>
      </c>
      <c r="B9" t="s">
        <v>30</v>
      </c>
      <c r="C9" t="s">
        <v>18</v>
      </c>
      <c r="D9" s="7">
        <v>588</v>
      </c>
      <c r="H9" s="16" t="s">
        <v>10</v>
      </c>
      <c r="I9" s="49" t="s">
        <v>135</v>
      </c>
      <c r="J9" s="49" t="s">
        <v>131</v>
      </c>
      <c r="K9" s="7">
        <v>537</v>
      </c>
      <c r="N9" s="16" t="s">
        <v>10</v>
      </c>
      <c r="O9" s="49" t="s">
        <v>97</v>
      </c>
      <c r="P9" s="49" t="s">
        <v>18</v>
      </c>
      <c r="Q9" s="4">
        <v>545</v>
      </c>
    </row>
    <row r="10" spans="1:17" x14ac:dyDescent="0.25">
      <c r="A10" s="16" t="s">
        <v>11</v>
      </c>
      <c r="B10" s="26" t="s">
        <v>173</v>
      </c>
      <c r="C10" s="26" t="s">
        <v>175</v>
      </c>
      <c r="D10" s="7">
        <v>584</v>
      </c>
      <c r="H10" s="16" t="s">
        <v>11</v>
      </c>
      <c r="I10" s="26" t="s">
        <v>345</v>
      </c>
      <c r="J10" s="26" t="s">
        <v>341</v>
      </c>
      <c r="K10" s="7">
        <v>536</v>
      </c>
      <c r="L10" s="126">
        <v>189</v>
      </c>
      <c r="N10" s="16" t="s">
        <v>11</v>
      </c>
      <c r="O10" t="s">
        <v>201</v>
      </c>
      <c r="P10" s="26" t="s">
        <v>245</v>
      </c>
      <c r="Q10" s="4">
        <v>530</v>
      </c>
    </row>
    <row r="11" spans="1:17" x14ac:dyDescent="0.25">
      <c r="A11" s="16" t="s">
        <v>12</v>
      </c>
      <c r="B11" s="48" t="s">
        <v>324</v>
      </c>
      <c r="C11" s="48" t="s">
        <v>322</v>
      </c>
      <c r="D11" s="7">
        <v>581</v>
      </c>
      <c r="H11" s="16" t="s">
        <v>12</v>
      </c>
      <c r="I11" s="48" t="s">
        <v>320</v>
      </c>
      <c r="J11" s="26" t="s">
        <v>319</v>
      </c>
      <c r="K11" s="7">
        <v>536</v>
      </c>
      <c r="L11" s="126">
        <v>165</v>
      </c>
      <c r="N11" s="16" t="s">
        <v>12</v>
      </c>
      <c r="O11" s="49" t="s">
        <v>27</v>
      </c>
      <c r="P11" s="26" t="s">
        <v>245</v>
      </c>
      <c r="Q11" s="4">
        <v>500</v>
      </c>
    </row>
    <row r="12" spans="1:17" x14ac:dyDescent="0.25">
      <c r="A12" s="16" t="s">
        <v>13</v>
      </c>
      <c r="B12" s="48" t="s">
        <v>326</v>
      </c>
      <c r="C12" s="48" t="s">
        <v>322</v>
      </c>
      <c r="D12" s="7">
        <v>579</v>
      </c>
      <c r="H12" s="16" t="s">
        <v>13</v>
      </c>
      <c r="I12" s="48" t="s">
        <v>343</v>
      </c>
      <c r="J12" s="48" t="s">
        <v>341</v>
      </c>
      <c r="K12" s="7">
        <v>529</v>
      </c>
      <c r="L12" s="126">
        <v>184</v>
      </c>
      <c r="N12" s="16" t="s">
        <v>13</v>
      </c>
      <c r="O12" t="s">
        <v>29</v>
      </c>
      <c r="P12" t="s">
        <v>356</v>
      </c>
      <c r="Q12" s="4">
        <v>499</v>
      </c>
    </row>
    <row r="13" spans="1:17" x14ac:dyDescent="0.25">
      <c r="A13" s="16" t="s">
        <v>39</v>
      </c>
      <c r="B13" s="48" t="s">
        <v>216</v>
      </c>
      <c r="C13" s="48" t="s">
        <v>143</v>
      </c>
      <c r="D13" s="7">
        <v>575</v>
      </c>
      <c r="H13" s="16" t="s">
        <v>39</v>
      </c>
      <c r="I13" s="80" t="s">
        <v>20</v>
      </c>
      <c r="J13" t="s">
        <v>18</v>
      </c>
      <c r="K13" s="7">
        <v>529</v>
      </c>
      <c r="L13" s="126">
        <v>153</v>
      </c>
      <c r="N13" s="16" t="s">
        <v>39</v>
      </c>
      <c r="O13" s="26" t="s">
        <v>196</v>
      </c>
      <c r="P13" s="26" t="s">
        <v>192</v>
      </c>
      <c r="Q13" s="4">
        <v>493</v>
      </c>
    </row>
    <row r="14" spans="1:17" x14ac:dyDescent="0.25">
      <c r="A14" s="16" t="s">
        <v>40</v>
      </c>
      <c r="B14" t="s">
        <v>35</v>
      </c>
      <c r="C14" s="80" t="s">
        <v>18</v>
      </c>
      <c r="D14" s="7">
        <v>571</v>
      </c>
      <c r="E14" s="212">
        <v>192</v>
      </c>
      <c r="H14" s="16" t="s">
        <v>40</v>
      </c>
      <c r="I14" s="48" t="s">
        <v>252</v>
      </c>
      <c r="J14" s="26" t="s">
        <v>319</v>
      </c>
      <c r="K14" s="7">
        <v>527</v>
      </c>
      <c r="N14" s="16" t="s">
        <v>40</v>
      </c>
      <c r="O14" s="48" t="s">
        <v>312</v>
      </c>
      <c r="P14" s="26" t="s">
        <v>305</v>
      </c>
      <c r="Q14" s="4">
        <v>485</v>
      </c>
    </row>
    <row r="15" spans="1:17" x14ac:dyDescent="0.25">
      <c r="A15" s="16" t="s">
        <v>41</v>
      </c>
      <c r="B15" t="s">
        <v>172</v>
      </c>
      <c r="C15" s="26" t="s">
        <v>142</v>
      </c>
      <c r="D15" s="7">
        <v>571</v>
      </c>
      <c r="E15" s="115">
        <v>183</v>
      </c>
      <c r="H15" s="16" t="s">
        <v>41</v>
      </c>
      <c r="I15" s="48" t="s">
        <v>354</v>
      </c>
      <c r="J15" s="26" t="s">
        <v>265</v>
      </c>
      <c r="K15" s="7">
        <v>523</v>
      </c>
      <c r="L15" s="126">
        <v>169</v>
      </c>
      <c r="N15" s="16" t="s">
        <v>41</v>
      </c>
      <c r="O15" t="s">
        <v>64</v>
      </c>
      <c r="P15" t="s">
        <v>63</v>
      </c>
      <c r="Q15" s="4">
        <v>466</v>
      </c>
    </row>
    <row r="16" spans="1:17" x14ac:dyDescent="0.25">
      <c r="A16" s="16" t="s">
        <v>42</v>
      </c>
      <c r="B16" s="48" t="s">
        <v>242</v>
      </c>
      <c r="C16" s="26" t="s">
        <v>175</v>
      </c>
      <c r="D16" s="7">
        <v>570</v>
      </c>
      <c r="F16" s="24"/>
      <c r="G16" s="24"/>
      <c r="H16" s="16" t="s">
        <v>42</v>
      </c>
      <c r="I16" s="26" t="s">
        <v>17</v>
      </c>
      <c r="J16" s="26" t="s">
        <v>18</v>
      </c>
      <c r="K16" s="7">
        <v>523</v>
      </c>
      <c r="L16" s="126">
        <v>168</v>
      </c>
      <c r="N16" s="16" t="s">
        <v>42</v>
      </c>
      <c r="O16" s="26" t="s">
        <v>194</v>
      </c>
      <c r="P16" s="26" t="s">
        <v>192</v>
      </c>
      <c r="Q16" s="4">
        <v>465</v>
      </c>
    </row>
    <row r="17" spans="1:18" x14ac:dyDescent="0.25">
      <c r="A17" s="16" t="s">
        <v>43</v>
      </c>
      <c r="B17" s="48" t="s">
        <v>328</v>
      </c>
      <c r="C17" s="48" t="s">
        <v>327</v>
      </c>
      <c r="D17" s="7">
        <v>568</v>
      </c>
      <c r="F17" s="24"/>
      <c r="G17" s="24"/>
      <c r="H17" s="16" t="s">
        <v>43</v>
      </c>
      <c r="I17" t="s">
        <v>23</v>
      </c>
      <c r="J17" t="s">
        <v>18</v>
      </c>
      <c r="K17" s="7">
        <v>523</v>
      </c>
      <c r="L17" s="126">
        <v>164</v>
      </c>
      <c r="N17" s="16" t="s">
        <v>43</v>
      </c>
      <c r="O17" t="s">
        <v>188</v>
      </c>
      <c r="P17" t="s">
        <v>18</v>
      </c>
      <c r="Q17" s="4">
        <v>464</v>
      </c>
      <c r="R17" s="50">
        <v>134</v>
      </c>
    </row>
    <row r="18" spans="1:18" x14ac:dyDescent="0.25">
      <c r="A18" s="16" t="s">
        <v>44</v>
      </c>
      <c r="B18" t="s">
        <v>78</v>
      </c>
      <c r="C18" t="s">
        <v>18</v>
      </c>
      <c r="D18" s="7">
        <v>567</v>
      </c>
      <c r="E18" s="24">
        <v>199</v>
      </c>
      <c r="G18" s="24"/>
      <c r="H18" s="16" t="s">
        <v>44</v>
      </c>
      <c r="I18" s="48" t="s">
        <v>117</v>
      </c>
      <c r="J18" s="26" t="s">
        <v>265</v>
      </c>
      <c r="K18" s="7">
        <v>514</v>
      </c>
      <c r="N18" s="16" t="s">
        <v>44</v>
      </c>
      <c r="O18" t="s">
        <v>96</v>
      </c>
      <c r="P18" t="s">
        <v>18</v>
      </c>
      <c r="Q18" s="4">
        <v>464</v>
      </c>
      <c r="R18" s="50">
        <v>133</v>
      </c>
    </row>
    <row r="19" spans="1:18" x14ac:dyDescent="0.25">
      <c r="A19" s="16" t="s">
        <v>45</v>
      </c>
      <c r="B19" s="48" t="s">
        <v>286</v>
      </c>
      <c r="C19" s="48" t="s">
        <v>317</v>
      </c>
      <c r="D19" s="7">
        <v>567</v>
      </c>
      <c r="E19" s="212">
        <v>192</v>
      </c>
      <c r="G19" s="24"/>
      <c r="H19" s="16" t="s">
        <v>45</v>
      </c>
      <c r="I19" s="26" t="s">
        <v>306</v>
      </c>
      <c r="J19" s="26" t="s">
        <v>305</v>
      </c>
      <c r="K19" s="7">
        <v>511</v>
      </c>
      <c r="N19" s="16" t="s">
        <v>45</v>
      </c>
      <c r="O19" s="26" t="s">
        <v>311</v>
      </c>
      <c r="P19" s="26" t="s">
        <v>305</v>
      </c>
      <c r="Q19" s="4">
        <v>454</v>
      </c>
    </row>
    <row r="20" spans="1:18" x14ac:dyDescent="0.25">
      <c r="A20" s="16" t="s">
        <v>46</v>
      </c>
      <c r="B20" t="s">
        <v>81</v>
      </c>
      <c r="C20" s="26" t="s">
        <v>142</v>
      </c>
      <c r="D20" s="7">
        <v>564</v>
      </c>
      <c r="E20" s="24"/>
      <c r="G20" s="24"/>
      <c r="H20" s="16" t="s">
        <v>46</v>
      </c>
      <c r="I20" t="s">
        <v>136</v>
      </c>
      <c r="J20" t="s">
        <v>131</v>
      </c>
      <c r="K20" s="7">
        <v>509</v>
      </c>
      <c r="N20" s="16" t="s">
        <v>46</v>
      </c>
      <c r="O20" s="48" t="s">
        <v>291</v>
      </c>
      <c r="P20" s="26" t="s">
        <v>192</v>
      </c>
      <c r="Q20" s="4">
        <v>453</v>
      </c>
    </row>
    <row r="21" spans="1:18" x14ac:dyDescent="0.25">
      <c r="A21" s="16" t="s">
        <v>47</v>
      </c>
      <c r="B21" s="48" t="s">
        <v>232</v>
      </c>
      <c r="C21" s="48" t="s">
        <v>294</v>
      </c>
      <c r="D21" s="7">
        <v>560</v>
      </c>
      <c r="G21" s="24"/>
      <c r="H21" s="16" t="s">
        <v>47</v>
      </c>
      <c r="I21" t="s">
        <v>234</v>
      </c>
      <c r="J21" t="s">
        <v>168</v>
      </c>
      <c r="K21" s="7">
        <v>508</v>
      </c>
      <c r="N21" s="16" t="s">
        <v>47</v>
      </c>
      <c r="O21" s="26" t="s">
        <v>310</v>
      </c>
      <c r="P21" s="26" t="s">
        <v>305</v>
      </c>
      <c r="Q21" s="4">
        <v>449</v>
      </c>
    </row>
    <row r="22" spans="1:18" x14ac:dyDescent="0.25">
      <c r="A22" s="16" t="s">
        <v>48</v>
      </c>
      <c r="B22" s="48" t="s">
        <v>325</v>
      </c>
      <c r="C22" s="48" t="s">
        <v>322</v>
      </c>
      <c r="D22" s="7">
        <v>557</v>
      </c>
      <c r="F22" s="24"/>
      <c r="G22" s="24"/>
      <c r="H22" s="16" t="s">
        <v>48</v>
      </c>
      <c r="I22" t="s">
        <v>162</v>
      </c>
      <c r="J22" t="s">
        <v>161</v>
      </c>
      <c r="K22" s="7">
        <v>506</v>
      </c>
      <c r="N22" s="16" t="s">
        <v>48</v>
      </c>
      <c r="O22" s="26" t="s">
        <v>193</v>
      </c>
      <c r="P22" s="26" t="s">
        <v>192</v>
      </c>
      <c r="Q22" s="4">
        <v>443</v>
      </c>
      <c r="R22" s="50">
        <v>120</v>
      </c>
    </row>
    <row r="23" spans="1:18" x14ac:dyDescent="0.25">
      <c r="A23" s="16" t="s">
        <v>49</v>
      </c>
      <c r="B23" s="26" t="s">
        <v>82</v>
      </c>
      <c r="C23" s="26" t="s">
        <v>143</v>
      </c>
      <c r="D23" s="7">
        <v>556</v>
      </c>
      <c r="E23" s="211">
        <v>176</v>
      </c>
      <c r="F23" s="24"/>
      <c r="G23" s="24"/>
      <c r="H23" s="16" t="s">
        <v>49</v>
      </c>
      <c r="I23" s="48" t="s">
        <v>251</v>
      </c>
      <c r="J23" s="26" t="s">
        <v>319</v>
      </c>
      <c r="K23" s="7">
        <v>503</v>
      </c>
      <c r="L23" s="126">
        <v>153</v>
      </c>
      <c r="N23" s="16" t="s">
        <v>49</v>
      </c>
      <c r="O23" t="s">
        <v>247</v>
      </c>
      <c r="P23" t="s">
        <v>63</v>
      </c>
      <c r="Q23" s="4">
        <v>443</v>
      </c>
      <c r="R23" s="50">
        <v>112</v>
      </c>
    </row>
    <row r="24" spans="1:18" x14ac:dyDescent="0.25">
      <c r="A24" s="16" t="s">
        <v>50</v>
      </c>
      <c r="B24" s="26" t="s">
        <v>315</v>
      </c>
      <c r="C24" s="48" t="s">
        <v>179</v>
      </c>
      <c r="D24" s="7">
        <v>556</v>
      </c>
      <c r="E24" s="211">
        <v>174</v>
      </c>
      <c r="G24" s="24"/>
      <c r="H24" s="16" t="s">
        <v>50</v>
      </c>
      <c r="I24" s="26" t="s">
        <v>130</v>
      </c>
      <c r="J24" t="s">
        <v>133</v>
      </c>
      <c r="K24" s="7">
        <v>503</v>
      </c>
      <c r="L24" s="126">
        <v>144</v>
      </c>
      <c r="N24" s="16" t="s">
        <v>50</v>
      </c>
      <c r="O24" t="s">
        <v>295</v>
      </c>
      <c r="P24" t="s">
        <v>18</v>
      </c>
      <c r="Q24" s="4">
        <v>417</v>
      </c>
    </row>
    <row r="25" spans="1:18" x14ac:dyDescent="0.25">
      <c r="A25" s="16" t="s">
        <v>51</v>
      </c>
      <c r="B25" t="s">
        <v>32</v>
      </c>
      <c r="C25" t="s">
        <v>18</v>
      </c>
      <c r="D25" s="7">
        <v>555</v>
      </c>
      <c r="E25" s="24"/>
      <c r="G25" s="24"/>
      <c r="H25" s="16" t="s">
        <v>51</v>
      </c>
      <c r="I25" t="s">
        <v>160</v>
      </c>
      <c r="J25" t="s">
        <v>161</v>
      </c>
      <c r="K25" s="7">
        <v>501</v>
      </c>
      <c r="N25" s="16"/>
    </row>
    <row r="26" spans="1:18" x14ac:dyDescent="0.25">
      <c r="A26" s="16" t="s">
        <v>52</v>
      </c>
      <c r="B26" s="48" t="s">
        <v>321</v>
      </c>
      <c r="C26" s="48" t="s">
        <v>317</v>
      </c>
      <c r="D26" s="7">
        <v>553</v>
      </c>
      <c r="F26" s="24"/>
      <c r="G26" s="24"/>
      <c r="H26" s="16" t="s">
        <v>52</v>
      </c>
      <c r="I26" t="s">
        <v>316</v>
      </c>
      <c r="J26" t="s">
        <v>161</v>
      </c>
      <c r="K26" s="7">
        <v>500</v>
      </c>
      <c r="N26" s="16"/>
    </row>
    <row r="27" spans="1:18" x14ac:dyDescent="0.25">
      <c r="A27" s="16" t="s">
        <v>66</v>
      </c>
      <c r="B27" t="s">
        <v>217</v>
      </c>
      <c r="C27" s="26" t="s">
        <v>143</v>
      </c>
      <c r="D27" s="7">
        <v>552</v>
      </c>
      <c r="F27" s="24"/>
      <c r="H27" s="16" t="s">
        <v>66</v>
      </c>
      <c r="I27" s="26" t="s">
        <v>342</v>
      </c>
      <c r="J27" s="26" t="s">
        <v>341</v>
      </c>
      <c r="K27" s="7">
        <v>499</v>
      </c>
      <c r="Q27" s="4">
        <f>AVERAGE(Q7:Q24)</f>
        <v>482.61111111111109</v>
      </c>
    </row>
    <row r="28" spans="1:18" x14ac:dyDescent="0.25">
      <c r="A28" s="16" t="s">
        <v>67</v>
      </c>
      <c r="B28" s="48" t="s">
        <v>176</v>
      </c>
      <c r="C28" t="s">
        <v>100</v>
      </c>
      <c r="D28" s="7">
        <v>550</v>
      </c>
      <c r="E28" s="211">
        <v>192</v>
      </c>
      <c r="H28" s="16" t="s">
        <v>67</v>
      </c>
      <c r="I28" t="s">
        <v>115</v>
      </c>
      <c r="J28" t="s">
        <v>168</v>
      </c>
      <c r="K28" s="7">
        <v>498</v>
      </c>
      <c r="L28" s="126">
        <v>170</v>
      </c>
    </row>
    <row r="29" spans="1:18" x14ac:dyDescent="0.25">
      <c r="A29" s="16" t="s">
        <v>68</v>
      </c>
      <c r="B29" s="48" t="s">
        <v>22</v>
      </c>
      <c r="C29" t="s">
        <v>127</v>
      </c>
      <c r="D29" s="7">
        <v>550</v>
      </c>
      <c r="E29" s="211">
        <v>183</v>
      </c>
      <c r="F29" s="24"/>
      <c r="H29" s="16" t="s">
        <v>68</v>
      </c>
      <c r="I29" s="26" t="s">
        <v>304</v>
      </c>
      <c r="J29" s="26" t="s">
        <v>118</v>
      </c>
      <c r="K29" s="7">
        <v>498</v>
      </c>
      <c r="L29" s="126">
        <v>138</v>
      </c>
    </row>
    <row r="30" spans="1:18" x14ac:dyDescent="0.25">
      <c r="A30" s="16" t="s">
        <v>69</v>
      </c>
      <c r="B30" s="48" t="s">
        <v>124</v>
      </c>
      <c r="C30" s="26" t="s">
        <v>127</v>
      </c>
      <c r="D30" s="7">
        <v>549</v>
      </c>
      <c r="E30" s="212">
        <v>196</v>
      </c>
      <c r="H30" s="16" t="s">
        <v>69</v>
      </c>
      <c r="I30" s="26" t="s">
        <v>309</v>
      </c>
      <c r="J30" s="26" t="s">
        <v>305</v>
      </c>
      <c r="K30" s="7">
        <v>492</v>
      </c>
    </row>
    <row r="31" spans="1:18" x14ac:dyDescent="0.25">
      <c r="A31" s="16" t="s">
        <v>70</v>
      </c>
      <c r="B31" s="48" t="s">
        <v>87</v>
      </c>
      <c r="C31" s="48" t="s">
        <v>294</v>
      </c>
      <c r="D31" s="7">
        <v>549</v>
      </c>
      <c r="E31" s="212">
        <v>179</v>
      </c>
      <c r="H31" s="16" t="s">
        <v>70</v>
      </c>
      <c r="I31" t="s">
        <v>137</v>
      </c>
      <c r="J31" t="s">
        <v>131</v>
      </c>
      <c r="K31" s="7">
        <v>491</v>
      </c>
    </row>
    <row r="32" spans="1:18" x14ac:dyDescent="0.25">
      <c r="A32" s="16" t="s">
        <v>71</v>
      </c>
      <c r="B32" s="48" t="s">
        <v>99</v>
      </c>
      <c r="C32" s="26" t="s">
        <v>127</v>
      </c>
      <c r="D32" s="7">
        <v>548</v>
      </c>
      <c r="E32" s="24"/>
      <c r="F32" s="24"/>
      <c r="H32" s="16" t="s">
        <v>71</v>
      </c>
      <c r="I32" t="s">
        <v>25</v>
      </c>
      <c r="J32" t="s">
        <v>168</v>
      </c>
      <c r="K32" s="7">
        <v>490</v>
      </c>
    </row>
    <row r="33" spans="1:11" x14ac:dyDescent="0.25">
      <c r="A33" s="16" t="s">
        <v>72</v>
      </c>
      <c r="B33" s="48" t="s">
        <v>300</v>
      </c>
      <c r="C33" s="48" t="s">
        <v>299</v>
      </c>
      <c r="D33" s="7">
        <v>545</v>
      </c>
      <c r="E33" s="115"/>
      <c r="F33" s="24"/>
      <c r="H33" s="16" t="s">
        <v>72</v>
      </c>
      <c r="I33" t="s">
        <v>154</v>
      </c>
      <c r="J33" t="s">
        <v>133</v>
      </c>
      <c r="K33" s="7">
        <v>487</v>
      </c>
    </row>
    <row r="34" spans="1:11" x14ac:dyDescent="0.25">
      <c r="A34" s="16" t="s">
        <v>73</v>
      </c>
      <c r="B34" t="s">
        <v>204</v>
      </c>
      <c r="C34" t="s">
        <v>18</v>
      </c>
      <c r="D34" s="7">
        <v>544</v>
      </c>
      <c r="E34" s="212">
        <v>193</v>
      </c>
      <c r="F34" s="24"/>
      <c r="H34" s="16" t="s">
        <v>73</v>
      </c>
      <c r="I34" t="s">
        <v>21</v>
      </c>
      <c r="J34" t="s">
        <v>18</v>
      </c>
      <c r="K34" s="7">
        <v>482</v>
      </c>
    </row>
    <row r="35" spans="1:11" x14ac:dyDescent="0.25">
      <c r="A35" s="16" t="s">
        <v>74</v>
      </c>
      <c r="B35" s="26" t="s">
        <v>80</v>
      </c>
      <c r="C35" s="26" t="s">
        <v>143</v>
      </c>
      <c r="D35" s="7">
        <v>544</v>
      </c>
      <c r="E35" s="212">
        <v>184</v>
      </c>
      <c r="F35" s="24"/>
      <c r="H35" s="16" t="s">
        <v>74</v>
      </c>
      <c r="I35" s="48" t="s">
        <v>344</v>
      </c>
      <c r="J35" s="48" t="s">
        <v>341</v>
      </c>
      <c r="K35" s="7">
        <v>481</v>
      </c>
    </row>
    <row r="36" spans="1:11" x14ac:dyDescent="0.25">
      <c r="A36" s="16" t="s">
        <v>75</v>
      </c>
      <c r="B36" s="26" t="s">
        <v>155</v>
      </c>
      <c r="C36" s="26" t="s">
        <v>175</v>
      </c>
      <c r="D36" s="7">
        <v>544</v>
      </c>
      <c r="E36" s="214">
        <v>176</v>
      </c>
      <c r="H36" s="16" t="s">
        <v>75</v>
      </c>
      <c r="I36" s="48" t="s">
        <v>152</v>
      </c>
      <c r="J36" s="26" t="s">
        <v>265</v>
      </c>
      <c r="K36" s="7">
        <v>480</v>
      </c>
    </row>
    <row r="37" spans="1:11" x14ac:dyDescent="0.25">
      <c r="A37" s="16" t="s">
        <v>76</v>
      </c>
      <c r="B37" s="80" t="s">
        <v>36</v>
      </c>
      <c r="C37" t="s">
        <v>128</v>
      </c>
      <c r="D37" s="7">
        <v>543</v>
      </c>
      <c r="E37" s="212">
        <v>193</v>
      </c>
      <c r="H37" s="16" t="s">
        <v>76</v>
      </c>
      <c r="I37" t="s">
        <v>246</v>
      </c>
      <c r="J37" t="s">
        <v>18</v>
      </c>
      <c r="K37" s="7">
        <v>476</v>
      </c>
    </row>
    <row r="38" spans="1:11" x14ac:dyDescent="0.25">
      <c r="A38" s="16" t="s">
        <v>77</v>
      </c>
      <c r="B38" s="48" t="s">
        <v>314</v>
      </c>
      <c r="C38" s="48" t="s">
        <v>179</v>
      </c>
      <c r="D38" s="7">
        <v>543</v>
      </c>
      <c r="E38" s="212">
        <v>165</v>
      </c>
      <c r="F38" s="24"/>
      <c r="H38" s="16" t="s">
        <v>77</v>
      </c>
      <c r="I38" s="48" t="s">
        <v>208</v>
      </c>
      <c r="J38" s="26" t="s">
        <v>207</v>
      </c>
      <c r="K38" s="7">
        <v>472</v>
      </c>
    </row>
    <row r="39" spans="1:11" x14ac:dyDescent="0.25">
      <c r="A39" s="16" t="s">
        <v>89</v>
      </c>
      <c r="B39" s="48" t="s">
        <v>318</v>
      </c>
      <c r="C39" s="48" t="s">
        <v>317</v>
      </c>
      <c r="D39" s="7">
        <v>542</v>
      </c>
      <c r="E39" s="212">
        <v>190</v>
      </c>
      <c r="H39" s="16" t="s">
        <v>89</v>
      </c>
      <c r="I39" s="26" t="s">
        <v>178</v>
      </c>
      <c r="J39" s="26" t="s">
        <v>63</v>
      </c>
      <c r="K39" s="7">
        <v>468</v>
      </c>
    </row>
    <row r="40" spans="1:11" x14ac:dyDescent="0.25">
      <c r="A40" s="16" t="s">
        <v>90</v>
      </c>
      <c r="B40" s="48" t="s">
        <v>183</v>
      </c>
      <c r="C40" s="48" t="s">
        <v>143</v>
      </c>
      <c r="D40" s="7">
        <v>542</v>
      </c>
      <c r="E40" s="212">
        <v>177</v>
      </c>
      <c r="F40" s="24"/>
      <c r="H40" s="16" t="s">
        <v>90</v>
      </c>
      <c r="I40" t="s">
        <v>24</v>
      </c>
      <c r="J40" t="s">
        <v>168</v>
      </c>
      <c r="K40" s="7">
        <v>460</v>
      </c>
    </row>
    <row r="41" spans="1:11" x14ac:dyDescent="0.25">
      <c r="A41" s="16" t="s">
        <v>91</v>
      </c>
      <c r="B41" s="80" t="s">
        <v>56</v>
      </c>
      <c r="C41" t="s">
        <v>128</v>
      </c>
      <c r="D41" s="7">
        <v>541</v>
      </c>
      <c r="E41" s="217">
        <v>200</v>
      </c>
      <c r="F41" s="24"/>
      <c r="H41" s="16" t="s">
        <v>91</v>
      </c>
      <c r="I41" t="s">
        <v>132</v>
      </c>
      <c r="J41" t="s">
        <v>131</v>
      </c>
      <c r="K41" s="7">
        <v>458</v>
      </c>
    </row>
    <row r="42" spans="1:11" x14ac:dyDescent="0.25">
      <c r="A42" s="16" t="s">
        <v>92</v>
      </c>
      <c r="B42" s="80" t="s">
        <v>79</v>
      </c>
      <c r="C42" t="s">
        <v>18</v>
      </c>
      <c r="D42" s="7">
        <v>541</v>
      </c>
      <c r="E42" s="217">
        <v>182</v>
      </c>
      <c r="F42" s="24"/>
      <c r="H42" s="16" t="s">
        <v>92</v>
      </c>
      <c r="I42" s="48" t="s">
        <v>250</v>
      </c>
      <c r="J42" s="26" t="s">
        <v>319</v>
      </c>
      <c r="K42" s="7">
        <v>457</v>
      </c>
    </row>
    <row r="43" spans="1:11" x14ac:dyDescent="0.25">
      <c r="A43" s="16" t="s">
        <v>93</v>
      </c>
      <c r="B43" s="48" t="s">
        <v>313</v>
      </c>
      <c r="C43" s="48" t="s">
        <v>179</v>
      </c>
      <c r="D43" s="7">
        <v>535</v>
      </c>
      <c r="E43" s="115"/>
      <c r="H43" s="16" t="s">
        <v>93</v>
      </c>
      <c r="I43" s="48" t="s">
        <v>237</v>
      </c>
      <c r="J43" s="26" t="s">
        <v>207</v>
      </c>
      <c r="K43" s="7">
        <v>451</v>
      </c>
    </row>
    <row r="44" spans="1:11" x14ac:dyDescent="0.25">
      <c r="A44" s="16" t="s">
        <v>94</v>
      </c>
      <c r="B44" t="s">
        <v>280</v>
      </c>
      <c r="C44" s="48" t="s">
        <v>317</v>
      </c>
      <c r="D44" s="7">
        <v>534</v>
      </c>
      <c r="E44" s="115"/>
      <c r="F44" s="24"/>
      <c r="H44" s="16" t="s">
        <v>94</v>
      </c>
      <c r="I44" s="26" t="s">
        <v>65</v>
      </c>
      <c r="J44" s="26" t="s">
        <v>63</v>
      </c>
      <c r="K44" s="7">
        <v>447</v>
      </c>
    </row>
    <row r="45" spans="1:11" x14ac:dyDescent="0.25">
      <c r="A45" s="16" t="s">
        <v>95</v>
      </c>
      <c r="B45" s="48" t="s">
        <v>16</v>
      </c>
      <c r="C45" t="s">
        <v>100</v>
      </c>
      <c r="D45" s="7">
        <v>532</v>
      </c>
      <c r="E45" s="24">
        <v>199</v>
      </c>
      <c r="F45" s="24"/>
      <c r="H45" s="16" t="s">
        <v>95</v>
      </c>
      <c r="I45" s="49" t="s">
        <v>163</v>
      </c>
      <c r="J45" s="49" t="s">
        <v>161</v>
      </c>
      <c r="K45" s="7">
        <v>444</v>
      </c>
    </row>
    <row r="46" spans="1:11" x14ac:dyDescent="0.25">
      <c r="A46" s="16" t="s">
        <v>106</v>
      </c>
      <c r="B46" s="26" t="s">
        <v>174</v>
      </c>
      <c r="C46" s="26" t="s">
        <v>175</v>
      </c>
      <c r="D46" s="7">
        <v>532</v>
      </c>
      <c r="E46" s="214">
        <v>160</v>
      </c>
      <c r="F46" s="24"/>
      <c r="H46" s="16" t="s">
        <v>106</v>
      </c>
      <c r="I46" s="26" t="s">
        <v>209</v>
      </c>
      <c r="J46" s="26" t="s">
        <v>207</v>
      </c>
      <c r="K46" s="7">
        <v>442</v>
      </c>
    </row>
    <row r="47" spans="1:11" x14ac:dyDescent="0.25">
      <c r="A47" s="16" t="s">
        <v>107</v>
      </c>
      <c r="B47" s="48" t="s">
        <v>180</v>
      </c>
      <c r="C47" s="48" t="s">
        <v>179</v>
      </c>
      <c r="D47" s="7">
        <v>530</v>
      </c>
      <c r="H47" s="16" t="s">
        <v>107</v>
      </c>
      <c r="I47" s="26" t="s">
        <v>206</v>
      </c>
      <c r="J47" s="26" t="s">
        <v>207</v>
      </c>
      <c r="K47" s="7">
        <v>405</v>
      </c>
    </row>
    <row r="48" spans="1:11" x14ac:dyDescent="0.25">
      <c r="A48" s="16" t="s">
        <v>108</v>
      </c>
      <c r="B48" s="26" t="s">
        <v>34</v>
      </c>
      <c r="C48" s="59" t="s">
        <v>101</v>
      </c>
      <c r="D48" s="7">
        <v>526</v>
      </c>
      <c r="E48" s="24"/>
      <c r="H48" s="16" t="s">
        <v>108</v>
      </c>
      <c r="I48" s="26" t="s">
        <v>134</v>
      </c>
      <c r="J48" t="s">
        <v>133</v>
      </c>
      <c r="K48" s="7">
        <v>371</v>
      </c>
    </row>
    <row r="49" spans="1:11" x14ac:dyDescent="0.25">
      <c r="A49" s="16" t="s">
        <v>109</v>
      </c>
      <c r="B49" s="48" t="s">
        <v>301</v>
      </c>
      <c r="C49" s="48" t="s">
        <v>299</v>
      </c>
      <c r="D49" s="7">
        <v>525</v>
      </c>
      <c r="E49" s="24"/>
      <c r="H49" s="16" t="s">
        <v>109</v>
      </c>
      <c r="I49" t="s">
        <v>164</v>
      </c>
      <c r="J49" t="s">
        <v>133</v>
      </c>
      <c r="K49" s="7">
        <v>366</v>
      </c>
    </row>
    <row r="50" spans="1:11" x14ac:dyDescent="0.25">
      <c r="A50" s="16" t="s">
        <v>110</v>
      </c>
      <c r="B50" s="48" t="s">
        <v>88</v>
      </c>
      <c r="C50" s="48" t="s">
        <v>294</v>
      </c>
      <c r="D50" s="7">
        <v>524</v>
      </c>
      <c r="E50" s="212">
        <v>164</v>
      </c>
      <c r="H50" s="16"/>
    </row>
    <row r="51" spans="1:11" x14ac:dyDescent="0.25">
      <c r="A51" s="16" t="s">
        <v>111</v>
      </c>
      <c r="B51" s="26" t="s">
        <v>31</v>
      </c>
      <c r="C51" s="59" t="s">
        <v>101</v>
      </c>
      <c r="D51" s="7">
        <v>524</v>
      </c>
      <c r="E51" s="212">
        <v>158</v>
      </c>
      <c r="F51" s="24"/>
      <c r="K51" s="90">
        <f>AVERAGE(K6:K49)</f>
        <v>490.32558139534882</v>
      </c>
    </row>
    <row r="52" spans="1:11" x14ac:dyDescent="0.25">
      <c r="A52" s="16" t="s">
        <v>112</v>
      </c>
      <c r="B52" s="26" t="s">
        <v>281</v>
      </c>
      <c r="C52" s="26" t="s">
        <v>317</v>
      </c>
      <c r="D52" s="7">
        <v>522</v>
      </c>
      <c r="E52" s="24"/>
      <c r="F52" s="24"/>
    </row>
    <row r="53" spans="1:11" x14ac:dyDescent="0.25">
      <c r="A53" s="16" t="s">
        <v>140</v>
      </c>
      <c r="B53" t="s">
        <v>83</v>
      </c>
      <c r="C53" t="s">
        <v>129</v>
      </c>
      <c r="D53" s="7">
        <v>520</v>
      </c>
      <c r="E53" s="115"/>
    </row>
    <row r="54" spans="1:11" x14ac:dyDescent="0.25">
      <c r="A54" s="16" t="s">
        <v>334</v>
      </c>
      <c r="B54" s="26" t="s">
        <v>285</v>
      </c>
      <c r="C54" s="48" t="s">
        <v>317</v>
      </c>
      <c r="D54" s="7">
        <v>519</v>
      </c>
      <c r="E54" s="24"/>
    </row>
    <row r="55" spans="1:11" x14ac:dyDescent="0.25">
      <c r="A55" s="16" t="s">
        <v>335</v>
      </c>
      <c r="B55" t="s">
        <v>33</v>
      </c>
      <c r="C55" s="80" t="s">
        <v>18</v>
      </c>
      <c r="D55" s="7">
        <v>518</v>
      </c>
      <c r="E55" s="24"/>
    </row>
    <row r="56" spans="1:11" x14ac:dyDescent="0.25">
      <c r="A56" s="16" t="s">
        <v>336</v>
      </c>
      <c r="B56" s="48" t="s">
        <v>119</v>
      </c>
      <c r="C56" s="48" t="s">
        <v>120</v>
      </c>
      <c r="D56" s="7">
        <v>514</v>
      </c>
      <c r="E56" s="24"/>
    </row>
    <row r="57" spans="1:11" x14ac:dyDescent="0.25">
      <c r="A57" s="16" t="s">
        <v>337</v>
      </c>
      <c r="B57" s="48" t="s">
        <v>331</v>
      </c>
      <c r="C57" s="48" t="s">
        <v>327</v>
      </c>
      <c r="D57" s="7">
        <v>510</v>
      </c>
    </row>
    <row r="58" spans="1:11" x14ac:dyDescent="0.25">
      <c r="A58" s="16" t="s">
        <v>338</v>
      </c>
      <c r="B58" s="48" t="s">
        <v>332</v>
      </c>
      <c r="C58" s="26" t="s">
        <v>143</v>
      </c>
      <c r="D58" s="7">
        <v>493</v>
      </c>
    </row>
    <row r="59" spans="1:11" x14ac:dyDescent="0.25">
      <c r="A59" s="16" t="s">
        <v>339</v>
      </c>
      <c r="B59" s="48" t="s">
        <v>346</v>
      </c>
      <c r="C59" s="48" t="s">
        <v>294</v>
      </c>
      <c r="D59" s="7">
        <v>486</v>
      </c>
      <c r="E59" s="212">
        <v>149</v>
      </c>
    </row>
    <row r="60" spans="1:11" x14ac:dyDescent="0.25">
      <c r="A60" s="16" t="s">
        <v>340</v>
      </c>
      <c r="B60" s="48" t="s">
        <v>330</v>
      </c>
      <c r="C60" s="48" t="s">
        <v>327</v>
      </c>
      <c r="D60" s="7">
        <v>486</v>
      </c>
      <c r="E60" s="212">
        <v>143</v>
      </c>
    </row>
    <row r="61" spans="1:11" x14ac:dyDescent="0.25">
      <c r="A61" s="16" t="s">
        <v>347</v>
      </c>
      <c r="B61" s="48" t="s">
        <v>121</v>
      </c>
      <c r="C61" s="48" t="s">
        <v>120</v>
      </c>
      <c r="D61" s="7">
        <v>482</v>
      </c>
    </row>
    <row r="62" spans="1:11" x14ac:dyDescent="0.25">
      <c r="A62" s="16" t="s">
        <v>348</v>
      </c>
      <c r="B62" s="48" t="s">
        <v>329</v>
      </c>
      <c r="C62" s="48" t="s">
        <v>327</v>
      </c>
      <c r="D62" s="7">
        <v>470</v>
      </c>
    </row>
    <row r="63" spans="1:11" x14ac:dyDescent="0.25">
      <c r="A63" s="16" t="s">
        <v>349</v>
      </c>
      <c r="B63" s="48" t="s">
        <v>123</v>
      </c>
      <c r="C63" s="48" t="s">
        <v>120</v>
      </c>
      <c r="D63" s="7">
        <v>469</v>
      </c>
    </row>
    <row r="64" spans="1:11" x14ac:dyDescent="0.25">
      <c r="A64" s="16" t="s">
        <v>350</v>
      </c>
      <c r="B64" s="48" t="s">
        <v>199</v>
      </c>
      <c r="C64" s="48" t="s">
        <v>219</v>
      </c>
      <c r="D64" s="7">
        <v>467</v>
      </c>
    </row>
    <row r="65" spans="1:5" x14ac:dyDescent="0.25">
      <c r="A65" s="16" t="s">
        <v>351</v>
      </c>
      <c r="B65" s="48" t="s">
        <v>302</v>
      </c>
      <c r="C65" s="48" t="s">
        <v>299</v>
      </c>
      <c r="D65" s="7">
        <v>437</v>
      </c>
    </row>
    <row r="66" spans="1:5" x14ac:dyDescent="0.25">
      <c r="A66" s="16" t="s">
        <v>352</v>
      </c>
      <c r="B66" s="48" t="s">
        <v>303</v>
      </c>
      <c r="C66" s="48" t="s">
        <v>299</v>
      </c>
      <c r="D66" s="7">
        <v>433</v>
      </c>
    </row>
    <row r="67" spans="1:5" x14ac:dyDescent="0.25">
      <c r="A67" s="16" t="s">
        <v>353</v>
      </c>
      <c r="B67" s="48" t="s">
        <v>34</v>
      </c>
      <c r="C67" s="26" t="s">
        <v>100</v>
      </c>
      <c r="D67" s="7">
        <v>360</v>
      </c>
      <c r="E67" s="24"/>
    </row>
    <row r="69" spans="1:5" x14ac:dyDescent="0.25">
      <c r="B69" s="48"/>
      <c r="C69" s="48"/>
    </row>
    <row r="70" spans="1:5" x14ac:dyDescent="0.25">
      <c r="B70" s="48"/>
      <c r="D70" s="89">
        <f>AVERAGE(D6:D67)</f>
        <v>534.19672131147536</v>
      </c>
    </row>
    <row r="72" spans="1:5" x14ac:dyDescent="0.25">
      <c r="B72" s="48"/>
      <c r="C72" s="48"/>
    </row>
    <row r="74" spans="1:5" x14ac:dyDescent="0.25">
      <c r="B74" s="48"/>
      <c r="C74" s="48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VILATI K</vt:lpstr>
      <vt:lpstr>VILATI a.ffi</vt:lpstr>
      <vt:lpstr>VILATI női</vt:lpstr>
      <vt:lpstr>EGYÉNI</vt:lpstr>
      <vt:lpstr>PÁROS</vt:lpstr>
      <vt:lpstr>Agria csap.</vt:lpstr>
      <vt:lpstr>Agria am.ffi</vt:lpstr>
      <vt:lpstr>Agria női</vt:lpstr>
      <vt:lpstr>Agria egy.</vt:lpstr>
      <vt:lpstr>Agria páros</vt:lpstr>
      <vt:lpstr>ÖSSZ.PÁR</vt:lpstr>
      <vt:lpstr>ÖSSZ.CSAP.</vt:lpstr>
      <vt:lpstr>ÖSSZ.EGY.</vt:lpstr>
      <vt:lpstr>Tősi ffi</vt:lpstr>
      <vt:lpstr>TŐSI AM.</vt:lpstr>
      <vt:lpstr>TŐSI NŐI</vt:lpstr>
      <vt:lpstr>TŐSI EGY.</vt:lpstr>
      <vt:lpstr>TŐSI PÁR.</vt:lpstr>
      <vt:lpstr>TÉLI K. PÁR</vt:lpstr>
      <vt:lpstr>TÉLI K. EGY.</vt:lpstr>
      <vt:lpstr>TÉLI K. csap</vt:lpstr>
      <vt:lpstr>TÉLI K. AM.</vt:lpstr>
      <vt:lpstr>TÉLI K. NŐI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Árpád</dc:creator>
  <cp:lastModifiedBy>user</cp:lastModifiedBy>
  <cp:lastPrinted>2015-11-14T03:00:19Z</cp:lastPrinted>
  <dcterms:created xsi:type="dcterms:W3CDTF">2015-05-29T19:02:35Z</dcterms:created>
  <dcterms:modified xsi:type="dcterms:W3CDTF">2018-09-07T04:01:02Z</dcterms:modified>
</cp:coreProperties>
</file>